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казатели ФХД" sheetId="1" r:id="rId1"/>
  </sheets>
  <externalReferences>
    <externalReference r:id="rId2"/>
  </externalReferences>
  <definedNames>
    <definedName name="B_FHD_FLAG_INDEX_1">'Показатели ФХД'!$H$66:$I$66</definedName>
    <definedName name="B_FHD_FLAG_INDEX_2">'Показатели ФХД'!$H$68:$I$68</definedName>
    <definedName name="DIFFERENTIATION_ID_DIFF">[1]Дифференциация!$O$12:$O$16</definedName>
    <definedName name="DIFFERENTIATION_UNMERGE_AREA">[1]Дифференциация!$Q$12:$Q$16</definedName>
    <definedName name="DIFFERENTIATION_UNMERGE_SYSTEM">[1]Дифференциация!$R$12:$R$16</definedName>
    <definedName name="DIFFERENTIATION_UNMERGE_VD">[1]Дифференциация!$P$12:$P$16</definedName>
    <definedName name="FHD_NAME_FORM">[1]DATA_FORMS!$C$6</definedName>
    <definedName name="FHD_NOTE_P_1">[1]DATA_NPA!$N$18</definedName>
    <definedName name="FHD_NOTE_P_10">[1]DATA_NPA!$N$27</definedName>
    <definedName name="FHD_NOTE_P_11">[1]DATA_NPA!$N$28</definedName>
    <definedName name="FHD_NOTE_P_12">[1]DATA_NPA!$N$29</definedName>
    <definedName name="FHD_NOTE_P_13">[1]DATA_NPA!$N$30</definedName>
    <definedName name="FHD_NOTE_P_14">[1]DATA_NPA!$N$31</definedName>
    <definedName name="FHD_NOTE_P_15">[1]DATA_NPA!$N$32</definedName>
    <definedName name="FHD_NOTE_P_16">[1]DATA_NPA!$N$33</definedName>
    <definedName name="FHD_NOTE_P_17">[1]DATA_NPA!$N$34</definedName>
    <definedName name="FHD_NOTE_P_18">[1]DATA_NPA!$N$35</definedName>
    <definedName name="FHD_NOTE_P_19">[1]DATA_NPA!$N$36</definedName>
    <definedName name="FHD_NOTE_P_2">[1]DATA_NPA!$N$19</definedName>
    <definedName name="FHD_NOTE_P_20">[1]DATA_NPA!$N$37</definedName>
    <definedName name="FHD_NOTE_P_21">[1]DATA_NPA!$N$38</definedName>
    <definedName name="FHD_NOTE_P_22">[1]DATA_NPA!$N$39</definedName>
    <definedName name="FHD_NOTE_P_23">[1]DATA_NPA!$N$40</definedName>
    <definedName name="FHD_NOTE_P_24">[1]DATA_NPA!$N$41</definedName>
    <definedName name="FHD_NOTE_P_25">[1]DATA_NPA!$N$42</definedName>
    <definedName name="FHD_NOTE_P_26">[1]DATA_NPA!$N$43</definedName>
    <definedName name="FHD_NOTE_P_27">[1]DATA_NPA!$N$44</definedName>
    <definedName name="FHD_NOTE_P_28">[1]DATA_NPA!$N$45</definedName>
    <definedName name="FHD_NOTE_P_29">[1]DATA_NPA!$N$46</definedName>
    <definedName name="FHD_NOTE_P_3">[1]DATA_NPA!$N$20</definedName>
    <definedName name="FHD_NOTE_P_30">[1]DATA_NPA!$N$47</definedName>
    <definedName name="FHD_NOTE_P_31">[1]DATA_NPA!$N$48</definedName>
    <definedName name="FHD_NOTE_P_32">[1]DATA_NPA!$N$49</definedName>
    <definedName name="FHD_NOTE_P_33">[1]DATA_NPA!$N$50</definedName>
    <definedName name="FHD_NOTE_P_34">[1]DATA_NPA!$N$51</definedName>
    <definedName name="FHD_NOTE_P_35">[1]DATA_NPA!$N$52</definedName>
    <definedName name="FHD_NOTE_P_36">[1]DATA_NPA!$N$53</definedName>
    <definedName name="FHD_NOTE_P_37">[1]DATA_NPA!$N$54</definedName>
    <definedName name="FHD_NOTE_P_38">[1]DATA_NPA!$N$55</definedName>
    <definedName name="FHD_NOTE_P_39">[1]DATA_NPA!$N$56</definedName>
    <definedName name="FHD_NOTE_P_4">[1]DATA_NPA!$N$21</definedName>
    <definedName name="FHD_NOTE_P_40">[1]DATA_NPA!$N$57</definedName>
    <definedName name="FHD_NOTE_P_41">[1]DATA_NPA!$N$58</definedName>
    <definedName name="FHD_NOTE_P_42">[1]DATA_NPA!$N$59</definedName>
    <definedName name="FHD_NOTE_P_43">[1]DATA_NPA!$N$60</definedName>
    <definedName name="FHD_NOTE_P_44">[1]DATA_NPA!$N$61</definedName>
    <definedName name="FHD_NOTE_P_45">[1]DATA_NPA!$N$62</definedName>
    <definedName name="FHD_NOTE_P_46">[1]DATA_NPA!$N$63</definedName>
    <definedName name="FHD_NOTE_P_47">[1]DATA_NPA!$N$64</definedName>
    <definedName name="FHD_NOTE_P_48">[1]DATA_NPA!$N$65</definedName>
    <definedName name="FHD_NOTE_P_49">[1]DATA_NPA!$N$66</definedName>
    <definedName name="FHD_NOTE_P_5">[1]DATA_NPA!$N$22</definedName>
    <definedName name="FHD_NOTE_P_50">[1]DATA_NPA!$N$67</definedName>
    <definedName name="FHD_NOTE_P_51">[1]DATA_NPA!$N$68</definedName>
    <definedName name="FHD_NOTE_P_52">[1]DATA_NPA!$N$69</definedName>
    <definedName name="FHD_NOTE_P_53">[1]DATA_NPA!$N$70</definedName>
    <definedName name="FHD_NOTE_P_54">[1]DATA_NPA!$N$71</definedName>
    <definedName name="FHD_NOTE_P_55">[1]DATA_NPA!$N$72</definedName>
    <definedName name="FHD_NOTE_P_56">[1]DATA_NPA!$N$73</definedName>
    <definedName name="FHD_NOTE_P_57">[1]DATA_NPA!$N$74</definedName>
    <definedName name="FHD_NOTE_P_58">[1]DATA_NPA!$N$75</definedName>
    <definedName name="FHD_NOTE_P_59">[1]DATA_NPA!$N$76</definedName>
    <definedName name="FHD_NOTE_P_6">[1]DATA_NPA!$N$23</definedName>
    <definedName name="FHD_NOTE_P_60">[1]DATA_NPA!$N$77</definedName>
    <definedName name="FHD_NOTE_P_61">[1]DATA_NPA!$N$78</definedName>
    <definedName name="FHD_NOTE_P_62">[1]DATA_NPA!$N$79</definedName>
    <definedName name="FHD_NOTE_P_63">[1]DATA_NPA!$N$80</definedName>
    <definedName name="FHD_NOTE_P_64">[1]DATA_NPA!$N$81</definedName>
    <definedName name="FHD_NOTE_P_65">[1]DATA_NPA!$N$82</definedName>
    <definedName name="FHD_NOTE_P_66">[1]DATA_NPA!$N$83</definedName>
    <definedName name="FHD_NOTE_P_67">[1]DATA_NPA!$N$84</definedName>
    <definedName name="FHD_NOTE_P_68">[1]DATA_NPA!$N$85</definedName>
    <definedName name="FHD_NOTE_P_69">[1]DATA_NPA!$N$86</definedName>
    <definedName name="FHD_NOTE_P_7">[1]DATA_NPA!$N$24</definedName>
    <definedName name="FHD_NOTE_P_70">[1]DATA_NPA!$N$87</definedName>
    <definedName name="FHD_NOTE_P_71">[1]DATA_NPA!$N$88</definedName>
    <definedName name="FHD_NOTE_P_72">[1]DATA_NPA!$N$89</definedName>
    <definedName name="FHD_NOTE_P_73">[1]DATA_NPA!$N$90</definedName>
    <definedName name="FHD_NOTE_P_74">[1]DATA_NPA!$N$91</definedName>
    <definedName name="FHD_NOTE_P_75">[1]DATA_NPA!$N$92</definedName>
    <definedName name="FHD_NOTE_P_76">[1]DATA_NPA!$N$93</definedName>
    <definedName name="FHD_NOTE_P_77">[1]DATA_NPA!$N$94</definedName>
    <definedName name="FHD_NOTE_P_78">[1]DATA_NPA!$N$95</definedName>
    <definedName name="FHD_NOTE_P_79">[1]DATA_NPA!$N$96</definedName>
    <definedName name="FHD_NOTE_P_8">[1]DATA_NPA!$N$25</definedName>
    <definedName name="FHD_NOTE_P_80">[1]DATA_NPA!$N$97</definedName>
    <definedName name="FHD_NOTE_P_81">[1]DATA_NPA!$N$98</definedName>
    <definedName name="FHD_NOTE_P_82">[1]DATA_NPA!$N$99</definedName>
    <definedName name="FHD_NOTE_P_83">[1]DATA_NPA!$N$100</definedName>
    <definedName name="FHD_NOTE_P_84">[1]DATA_NPA!$N$101</definedName>
    <definedName name="FHD_NOTE_P_9">[1]DATA_NPA!$N$26</definedName>
    <definedName name="FHD_NUM_P_1">[1]DATA_NPA!$L$18</definedName>
    <definedName name="FHD_NUM_P_10">[1]DATA_NPA!$L$27</definedName>
    <definedName name="FHD_NUM_P_11">[1]DATA_NPA!$L$28</definedName>
    <definedName name="FHD_NUM_P_12">[1]DATA_NPA!$L$29</definedName>
    <definedName name="FHD_NUM_P_13">[1]DATA_NPA!$L$30</definedName>
    <definedName name="FHD_NUM_P_14">[1]DATA_NPA!$L$31</definedName>
    <definedName name="FHD_NUM_P_15">[1]DATA_NPA!$L$32</definedName>
    <definedName name="FHD_NUM_P_16">[1]DATA_NPA!$L$33</definedName>
    <definedName name="FHD_NUM_P_17">[1]DATA_NPA!$L$34</definedName>
    <definedName name="FHD_NUM_P_18">[1]DATA_NPA!$L$35</definedName>
    <definedName name="FHD_NUM_P_19">[1]DATA_NPA!$L$36</definedName>
    <definedName name="FHD_NUM_P_2">[1]DATA_NPA!$L$19</definedName>
    <definedName name="FHD_NUM_P_20">[1]DATA_NPA!$L$37</definedName>
    <definedName name="FHD_NUM_P_21">[1]DATA_NPA!$L$38</definedName>
    <definedName name="FHD_NUM_P_22">[1]DATA_NPA!$L$39</definedName>
    <definedName name="FHD_NUM_P_23">[1]DATA_NPA!$L$40</definedName>
    <definedName name="FHD_NUM_P_24">[1]DATA_NPA!$L$41</definedName>
    <definedName name="FHD_NUM_P_25">[1]DATA_NPA!$L$42</definedName>
    <definedName name="FHD_NUM_P_26">[1]DATA_NPA!$L$43</definedName>
    <definedName name="FHD_NUM_P_27">[1]DATA_NPA!$L$44</definedName>
    <definedName name="FHD_NUM_P_28">[1]DATA_NPA!$L$45</definedName>
    <definedName name="FHD_NUM_P_29">[1]DATA_NPA!$L$46</definedName>
    <definedName name="FHD_NUM_P_3">[1]DATA_NPA!$L$20</definedName>
    <definedName name="FHD_NUM_P_30">[1]DATA_NPA!$L$47</definedName>
    <definedName name="FHD_NUM_P_31">[1]DATA_NPA!$L$48</definedName>
    <definedName name="FHD_NUM_P_32">[1]DATA_NPA!$L$49</definedName>
    <definedName name="FHD_NUM_P_33">[1]DATA_NPA!$L$50</definedName>
    <definedName name="FHD_NUM_P_34">[1]DATA_NPA!$L$51</definedName>
    <definedName name="FHD_NUM_P_35">[1]DATA_NPA!$L$52</definedName>
    <definedName name="FHD_NUM_P_36">[1]DATA_NPA!$L$53</definedName>
    <definedName name="FHD_NUM_P_37">[1]DATA_NPA!$L$54</definedName>
    <definedName name="FHD_NUM_P_38">[1]DATA_NPA!$L$55</definedName>
    <definedName name="FHD_NUM_P_39">[1]DATA_NPA!$L$56</definedName>
    <definedName name="FHD_NUM_P_4">[1]DATA_NPA!$L$21</definedName>
    <definedName name="FHD_NUM_P_40">[1]DATA_NPA!$L$57</definedName>
    <definedName name="FHD_NUM_P_41">[1]DATA_NPA!$L$58</definedName>
    <definedName name="FHD_NUM_P_42">[1]DATA_NPA!$L$59</definedName>
    <definedName name="FHD_NUM_P_43">[1]DATA_NPA!$L$60</definedName>
    <definedName name="FHD_NUM_P_44">[1]DATA_NPA!$L$61</definedName>
    <definedName name="FHD_NUM_P_45">[1]DATA_NPA!$L$62</definedName>
    <definedName name="FHD_NUM_P_46">[1]DATA_NPA!$L$63</definedName>
    <definedName name="FHD_NUM_P_47">[1]DATA_NPA!$L$64</definedName>
    <definedName name="FHD_NUM_P_48">[1]DATA_NPA!$L$65</definedName>
    <definedName name="FHD_NUM_P_49">[1]DATA_NPA!$L$66</definedName>
    <definedName name="FHD_NUM_P_5">[1]DATA_NPA!$L$22</definedName>
    <definedName name="FHD_NUM_P_50">[1]DATA_NPA!$L$67</definedName>
    <definedName name="FHD_NUM_P_51">[1]DATA_NPA!$L$68</definedName>
    <definedName name="FHD_NUM_P_52">[1]DATA_NPA!$L$69</definedName>
    <definedName name="FHD_NUM_P_53">[1]DATA_NPA!$L$70</definedName>
    <definedName name="FHD_NUM_P_54">[1]DATA_NPA!$L$71</definedName>
    <definedName name="FHD_NUM_P_55">[1]DATA_NPA!$L$72</definedName>
    <definedName name="FHD_NUM_P_56">[1]DATA_NPA!$L$73</definedName>
    <definedName name="FHD_NUM_P_57">[1]DATA_NPA!$L$74</definedName>
    <definedName name="FHD_NUM_P_58">[1]DATA_NPA!$L$75</definedName>
    <definedName name="FHD_NUM_P_59">[1]DATA_NPA!$L$76</definedName>
    <definedName name="FHD_NUM_P_6">[1]DATA_NPA!$L$23</definedName>
    <definedName name="FHD_NUM_P_60">[1]DATA_NPA!$L$77</definedName>
    <definedName name="FHD_NUM_P_61">[1]DATA_NPA!$L$78</definedName>
    <definedName name="FHD_NUM_P_62">[1]DATA_NPA!$L$79</definedName>
    <definedName name="FHD_NUM_P_63">[1]DATA_NPA!$L$80</definedName>
    <definedName name="FHD_NUM_P_64">[1]DATA_NPA!$L$81</definedName>
    <definedName name="FHD_NUM_P_65">[1]DATA_NPA!$L$82</definedName>
    <definedName name="FHD_NUM_P_66">[1]DATA_NPA!$L$83</definedName>
    <definedName name="FHD_NUM_P_67">[1]DATA_NPA!$L$84</definedName>
    <definedName name="FHD_NUM_P_68">[1]DATA_NPA!$L$85</definedName>
    <definedName name="FHD_NUM_P_69">[1]DATA_NPA!$L$86</definedName>
    <definedName name="FHD_NUM_P_7">[1]DATA_NPA!$L$24</definedName>
    <definedName name="FHD_NUM_P_70">[1]DATA_NPA!$L$87</definedName>
    <definedName name="FHD_NUM_P_71">[1]DATA_NPA!$L$88</definedName>
    <definedName name="FHD_NUM_P_72">[1]DATA_NPA!$L$89</definedName>
    <definedName name="FHD_NUM_P_73">[1]DATA_NPA!$L$90</definedName>
    <definedName name="FHD_NUM_P_74">[1]DATA_NPA!$L$91</definedName>
    <definedName name="FHD_NUM_P_75">[1]DATA_NPA!$L$92</definedName>
    <definedName name="FHD_NUM_P_76">[1]DATA_NPA!$L$93</definedName>
    <definedName name="FHD_NUM_P_77">[1]DATA_NPA!$L$94</definedName>
    <definedName name="FHD_NUM_P_78">[1]DATA_NPA!$L$95</definedName>
    <definedName name="FHD_NUM_P_79">[1]DATA_NPA!$L$96</definedName>
    <definedName name="FHD_NUM_P_8">[1]DATA_NPA!$L$25</definedName>
    <definedName name="FHD_NUM_P_80">[1]DATA_NPA!$L$97</definedName>
    <definedName name="FHD_NUM_P_81">[1]DATA_NPA!$L$98</definedName>
    <definedName name="FHD_NUM_P_82">[1]DATA_NPA!$L$99</definedName>
    <definedName name="FHD_NUM_P_83">[1]DATA_NPA!$L$100</definedName>
    <definedName name="FHD_NUM_P_84">[1]DATA_NPA!$L$101</definedName>
    <definedName name="FHD_NUM_P_9">[1]DATA_NPA!$L$26</definedName>
    <definedName name="FHD_P_1">[1]DATA_NPA!$M$18</definedName>
    <definedName name="FHD_P_10">[1]DATA_NPA!$M$27</definedName>
    <definedName name="FHD_P_11">[1]DATA_NPA!$M$28</definedName>
    <definedName name="FHD_P_12">[1]DATA_NPA!$M$29</definedName>
    <definedName name="FHD_P_13">[1]DATA_NPA!$M$30</definedName>
    <definedName name="FHD_P_14">[1]DATA_NPA!$M$31</definedName>
    <definedName name="FHD_P_15">[1]DATA_NPA!$M$32</definedName>
    <definedName name="FHD_P_16">[1]DATA_NPA!$M$33</definedName>
    <definedName name="FHD_P_17">[1]DATA_NPA!$M$34</definedName>
    <definedName name="FHD_P_18">[1]DATA_NPA!$M$35</definedName>
    <definedName name="FHD_P_19">[1]DATA_NPA!$M$36</definedName>
    <definedName name="FHD_P_2">[1]DATA_NPA!$M$19</definedName>
    <definedName name="FHD_P_20">[1]DATA_NPA!$M$37</definedName>
    <definedName name="FHD_P_21">[1]DATA_NPA!$M$38</definedName>
    <definedName name="FHD_P_22">[1]DATA_NPA!$M$39</definedName>
    <definedName name="FHD_P_23">[1]DATA_NPA!$M$40</definedName>
    <definedName name="FHD_P_24">[1]DATA_NPA!$M$41</definedName>
    <definedName name="FHD_P_25">[1]DATA_NPA!$M$42</definedName>
    <definedName name="FHD_P_26">[1]DATA_NPA!$M$43</definedName>
    <definedName name="FHD_P_27">[1]DATA_NPA!$M$44</definedName>
    <definedName name="FHD_P_28">[1]DATA_NPA!$M$45</definedName>
    <definedName name="FHD_P_29">[1]DATA_NPA!$M$46</definedName>
    <definedName name="FHD_P_3">[1]DATA_NPA!$M$20</definedName>
    <definedName name="FHD_P_30">[1]DATA_NPA!$M$47</definedName>
    <definedName name="FHD_P_31">[1]DATA_NPA!$M$48</definedName>
    <definedName name="FHD_P_32">[1]DATA_NPA!$M$49</definedName>
    <definedName name="FHD_P_33">[1]DATA_NPA!$M$50</definedName>
    <definedName name="FHD_P_34">[1]DATA_NPA!$M$51</definedName>
    <definedName name="FHD_P_35">[1]DATA_NPA!$M$52</definedName>
    <definedName name="FHD_P_36">[1]DATA_NPA!$M$53</definedName>
    <definedName name="FHD_P_37">[1]DATA_NPA!$M$54</definedName>
    <definedName name="FHD_P_38">[1]DATA_NPA!$M$55</definedName>
    <definedName name="FHD_P_39">[1]DATA_NPA!$M$56</definedName>
    <definedName name="FHD_P_4">[1]DATA_NPA!$M$21</definedName>
    <definedName name="FHD_P_40">[1]DATA_NPA!$M$57</definedName>
    <definedName name="FHD_P_41">[1]DATA_NPA!$M$58</definedName>
    <definedName name="FHD_P_42">[1]DATA_NPA!$M$59</definedName>
    <definedName name="FHD_P_43">[1]DATA_NPA!$M$60</definedName>
    <definedName name="FHD_P_44">[1]DATA_NPA!$M$61</definedName>
    <definedName name="FHD_P_45">[1]DATA_NPA!$M$62</definedName>
    <definedName name="FHD_P_46">[1]DATA_NPA!$M$63</definedName>
    <definedName name="FHD_P_47">[1]DATA_NPA!$M$64</definedName>
    <definedName name="FHD_P_48">[1]DATA_NPA!$M$65</definedName>
    <definedName name="FHD_P_49">[1]DATA_NPA!$M$66</definedName>
    <definedName name="FHD_P_5">[1]DATA_NPA!$M$22</definedName>
    <definedName name="FHD_P_50">[1]DATA_NPA!$M$67</definedName>
    <definedName name="FHD_P_51">[1]DATA_NPA!$M$68</definedName>
    <definedName name="FHD_P_52">[1]DATA_NPA!$M$69</definedName>
    <definedName name="FHD_P_53">[1]DATA_NPA!$M$70</definedName>
    <definedName name="FHD_P_54">[1]DATA_NPA!$M$71</definedName>
    <definedName name="FHD_P_55">[1]DATA_NPA!$M$72</definedName>
    <definedName name="FHD_P_56">[1]DATA_NPA!$M$73</definedName>
    <definedName name="FHD_P_57">[1]DATA_NPA!$M$74</definedName>
    <definedName name="FHD_P_58">[1]DATA_NPA!$M$75</definedName>
    <definedName name="FHD_P_59">[1]DATA_NPA!$M$76</definedName>
    <definedName name="FHD_P_6">[1]DATA_NPA!$M$23</definedName>
    <definedName name="FHD_P_60">[1]DATA_NPA!$M$77</definedName>
    <definedName name="FHD_P_61">[1]DATA_NPA!$M$78</definedName>
    <definedName name="FHD_P_62">[1]DATA_NPA!$M$79</definedName>
    <definedName name="FHD_P_63">[1]DATA_NPA!$M$80</definedName>
    <definedName name="FHD_P_64">[1]DATA_NPA!$M$81</definedName>
    <definedName name="FHD_P_65">[1]DATA_NPA!$M$82</definedName>
    <definedName name="FHD_P_66">[1]DATA_NPA!$M$83</definedName>
    <definedName name="FHD_P_67">[1]DATA_NPA!$M$84</definedName>
    <definedName name="FHD_P_68">[1]DATA_NPA!$M$85</definedName>
    <definedName name="FHD_P_69">[1]DATA_NPA!$M$86</definedName>
    <definedName name="FHD_P_7">[1]DATA_NPA!$M$24</definedName>
    <definedName name="FHD_P_70">[1]DATA_NPA!$M$87</definedName>
    <definedName name="FHD_P_71">[1]DATA_NPA!$M$88</definedName>
    <definedName name="FHD_P_72">[1]DATA_NPA!$M$89</definedName>
    <definedName name="FHD_P_73">[1]DATA_NPA!$M$90</definedName>
    <definedName name="FHD_P_74">[1]DATA_NPA!$M$91</definedName>
    <definedName name="FHD_P_75">[1]DATA_NPA!$M$92</definedName>
    <definedName name="FHD_P_76">[1]DATA_NPA!$M$93</definedName>
    <definedName name="FHD_P_77">[1]DATA_NPA!$M$94</definedName>
    <definedName name="FHD_P_78">[1]DATA_NPA!$M$95</definedName>
    <definedName name="FHD_P_79">[1]DATA_NPA!$M$96</definedName>
    <definedName name="FHD_P_8">[1]DATA_NPA!$M$25</definedName>
    <definedName name="FHD_P_80">[1]DATA_NPA!$M$97</definedName>
    <definedName name="FHD_P_81">[1]DATA_NPA!$M$98</definedName>
    <definedName name="FHD_P_82">[1]DATA_NPA!$M$99</definedName>
    <definedName name="FHD_P_83">[1]DATA_NPA!$M$100</definedName>
    <definedName name="FHD_P_84">[1]DATA_NPA!$M$101</definedName>
    <definedName name="FHD_P_9">[1]DATA_NPA!$M$26</definedName>
    <definedName name="kind_of_fuels">[1]TEHSHEET!$BB$2:$BB$29</definedName>
    <definedName name="kind_of_purchase_method">[1]TEHSHEET!$K$11:$K$13</definedName>
    <definedName name="kind_of_volume_te_unit">[1]TEHSHEET!$J$15:$J$16</definedName>
    <definedName name="org">[1]Титульный!$F$31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6" i="1" l="1"/>
  <c r="E136" i="1"/>
  <c r="F135" i="1"/>
  <c r="E135" i="1"/>
  <c r="F134" i="1"/>
  <c r="E134" i="1"/>
  <c r="F133" i="1"/>
  <c r="E133" i="1"/>
  <c r="F132" i="1"/>
  <c r="E132" i="1"/>
  <c r="F129" i="1"/>
  <c r="E129" i="1"/>
  <c r="E130" i="1" s="1"/>
  <c r="F126" i="1"/>
  <c r="E126" i="1"/>
  <c r="E127" i="1" s="1"/>
  <c r="F124" i="1"/>
  <c r="E124" i="1"/>
  <c r="E125" i="1" s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6" i="1"/>
  <c r="E106" i="1"/>
  <c r="E107" i="1" s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I94" i="1"/>
  <c r="H94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I83" i="1"/>
  <c r="I82" i="1" s="1"/>
  <c r="F83" i="1"/>
  <c r="E83" i="1"/>
  <c r="F82" i="1"/>
  <c r="E82" i="1"/>
  <c r="F81" i="1"/>
  <c r="E81" i="1"/>
  <c r="F80" i="1"/>
  <c r="E80" i="1"/>
  <c r="F79" i="1"/>
  <c r="E79" i="1"/>
  <c r="I75" i="1"/>
  <c r="I69" i="1" s="1"/>
  <c r="H69" i="1"/>
  <c r="F69" i="1"/>
  <c r="E69" i="1"/>
  <c r="E72" i="1" s="1"/>
  <c r="K68" i="1"/>
  <c r="F68" i="1"/>
  <c r="E68" i="1"/>
  <c r="J68" i="1" s="1"/>
  <c r="F67" i="1"/>
  <c r="E67" i="1"/>
  <c r="J67" i="1" s="1"/>
  <c r="K66" i="1"/>
  <c r="F66" i="1"/>
  <c r="E66" i="1"/>
  <c r="J66" i="1" s="1"/>
  <c r="F65" i="1"/>
  <c r="E65" i="1"/>
  <c r="J65" i="1" s="1"/>
  <c r="F64" i="1"/>
  <c r="E64" i="1"/>
  <c r="J64" i="1" s="1"/>
  <c r="F63" i="1"/>
  <c r="E63" i="1"/>
  <c r="J63" i="1" s="1"/>
  <c r="F62" i="1"/>
  <c r="E62" i="1"/>
  <c r="J62" i="1" s="1"/>
  <c r="F61" i="1"/>
  <c r="E61" i="1"/>
  <c r="J61" i="1" s="1"/>
  <c r="F60" i="1"/>
  <c r="E60" i="1"/>
  <c r="J60" i="1" s="1"/>
  <c r="I59" i="1"/>
  <c r="F59" i="1"/>
  <c r="E59" i="1"/>
  <c r="J59" i="1" s="1"/>
  <c r="F58" i="1"/>
  <c r="E58" i="1"/>
  <c r="J58" i="1" s="1"/>
  <c r="F57" i="1"/>
  <c r="E57" i="1"/>
  <c r="J57" i="1" s="1"/>
  <c r="J56" i="1"/>
  <c r="F56" i="1"/>
  <c r="E56" i="1"/>
  <c r="I55" i="1"/>
  <c r="F55" i="1"/>
  <c r="E55" i="1"/>
  <c r="J55" i="1" s="1"/>
  <c r="F54" i="1"/>
  <c r="E54" i="1"/>
  <c r="J54" i="1" s="1"/>
  <c r="J53" i="1"/>
  <c r="F53" i="1"/>
  <c r="E53" i="1"/>
  <c r="I52" i="1"/>
  <c r="F52" i="1"/>
  <c r="E52" i="1"/>
  <c r="J52" i="1" s="1"/>
  <c r="F51" i="1"/>
  <c r="E51" i="1"/>
  <c r="J51" i="1" s="1"/>
  <c r="F50" i="1"/>
  <c r="E50" i="1"/>
  <c r="J50" i="1" s="1"/>
  <c r="I49" i="1"/>
  <c r="F49" i="1"/>
  <c r="E49" i="1"/>
  <c r="J49" i="1" s="1"/>
  <c r="F48" i="1"/>
  <c r="E48" i="1"/>
  <c r="J48" i="1" s="1"/>
  <c r="F47" i="1"/>
  <c r="E47" i="1"/>
  <c r="J47" i="1" s="1"/>
  <c r="F46" i="1"/>
  <c r="E46" i="1"/>
  <c r="J46" i="1" s="1"/>
  <c r="F45" i="1"/>
  <c r="E45" i="1"/>
  <c r="J45" i="1" s="1"/>
  <c r="F44" i="1"/>
  <c r="E44" i="1"/>
  <c r="J44" i="1" s="1"/>
  <c r="F43" i="1"/>
  <c r="E43" i="1"/>
  <c r="J43" i="1" s="1"/>
  <c r="F42" i="1"/>
  <c r="E42" i="1"/>
  <c r="J42" i="1" s="1"/>
  <c r="F41" i="1"/>
  <c r="E41" i="1"/>
  <c r="J41" i="1" s="1"/>
  <c r="J40" i="1"/>
  <c r="J39" i="1"/>
  <c r="J38" i="1"/>
  <c r="J37" i="1"/>
  <c r="J36" i="1"/>
  <c r="J35" i="1"/>
  <c r="J34" i="1"/>
  <c r="I33" i="1"/>
  <c r="H33" i="1"/>
  <c r="F33" i="1"/>
  <c r="E33" i="1"/>
  <c r="B34" i="1" s="1"/>
  <c r="J32" i="1"/>
  <c r="F32" i="1"/>
  <c r="E32" i="1"/>
  <c r="F31" i="1"/>
  <c r="E31" i="1"/>
  <c r="F30" i="1"/>
  <c r="E30" i="1"/>
  <c r="I27" i="1"/>
  <c r="H27" i="1"/>
  <c r="I26" i="1"/>
  <c r="H26" i="1"/>
  <c r="I25" i="1"/>
  <c r="H25" i="1"/>
  <c r="E22" i="1"/>
  <c r="E7" i="1"/>
  <c r="E6" i="1"/>
  <c r="E5" i="1"/>
  <c r="E4" i="1"/>
  <c r="I3" i="1"/>
  <c r="H3" i="1"/>
  <c r="E2" i="1"/>
  <c r="E76" i="1" l="1"/>
  <c r="E77" i="1"/>
  <c r="E73" i="1"/>
  <c r="E74" i="1"/>
  <c r="E70" i="1"/>
  <c r="J70" i="1" s="1"/>
  <c r="E71" i="1"/>
  <c r="E75" i="1"/>
  <c r="J33" i="1"/>
  <c r="I31" i="1" s="1"/>
  <c r="I142" i="1" s="1"/>
  <c r="J69" i="1"/>
  <c r="H31" i="1" l="1"/>
  <c r="H142" i="1" s="1"/>
</calcChain>
</file>

<file path=xl/sharedStrings.xml><?xml version="1.0" encoding="utf-8"?>
<sst xmlns="http://schemas.openxmlformats.org/spreadsheetml/2006/main" count="166" uniqueCount="65">
  <si>
    <t>Flag_Row_Size</t>
  </si>
  <si>
    <t>vt</t>
  </si>
  <si>
    <t>х</t>
  </si>
  <si>
    <t>общая стоимость</t>
  </si>
  <si>
    <t>объём</t>
  </si>
  <si>
    <t>стоимость за единицу объёма</t>
  </si>
  <si>
    <t>тыс. руб.</t>
  </si>
  <si>
    <t>стоимость доставки</t>
  </si>
  <si>
    <t>способ приобретения</t>
  </si>
  <si>
    <t>Гкал/ч</t>
  </si>
  <si>
    <t>%</t>
  </si>
  <si>
    <t>кг у. т./Гкал</t>
  </si>
  <si>
    <t>кг усл. топл./Гкал</t>
  </si>
  <si>
    <t>diff_1</t>
  </si>
  <si>
    <t>Вид деятельности</t>
  </si>
  <si>
    <t/>
  </si>
  <si>
    <t>Территория оказания услуг</t>
  </si>
  <si>
    <t>Централизованная система</t>
  </si>
  <si>
    <t>Параметры формы</t>
  </si>
  <si>
    <t>№ п/п</t>
  </si>
  <si>
    <t>Наименование параметра</t>
  </si>
  <si>
    <t>Единица измерения</t>
  </si>
  <si>
    <t>Информация</t>
  </si>
  <si>
    <t>p</t>
  </si>
  <si>
    <t>HEAT_P1</t>
  </si>
  <si>
    <t>Добавить вид топлива</t>
  </si>
  <si>
    <t>HOTVSNA_P1</t>
  </si>
  <si>
    <t>руб.</t>
  </si>
  <si>
    <t>тыс. кВт·ч</t>
  </si>
  <si>
    <t>HEAT_P6</t>
  </si>
  <si>
    <t>NOT_HOTVSNA</t>
  </si>
  <si>
    <t>x</t>
  </si>
  <si>
    <t>отсутствует</t>
  </si>
  <si>
    <t>NOT_HEAT_P1</t>
  </si>
  <si>
    <t>×</t>
  </si>
  <si>
    <t>Налоги и сборы</t>
  </si>
  <si>
    <t>Резерв по сомнительным долгам гарантирующей организации</t>
  </si>
  <si>
    <t>Займы и кредиты</t>
  </si>
  <si>
    <t>Расходы на тепловую энергию</t>
  </si>
  <si>
    <t>Административные расходы</t>
  </si>
  <si>
    <t>Экономия операционных расходов (расчетно)</t>
  </si>
  <si>
    <t>Расходы на обслуживание бесхозяйных сетей</t>
  </si>
  <si>
    <t>Добавить прочие расходы</t>
  </si>
  <si>
    <t>HEAT_P2</t>
  </si>
  <si>
    <t>NOT_HEAT_P2</t>
  </si>
  <si>
    <t>hyp</t>
  </si>
  <si>
    <t>https://portal.eias.ru/Portal/DownloadPage.aspx?type=12&amp;guid=566c4ed8-e785-4dae-a87a-2d9e0bd97606</t>
  </si>
  <si>
    <t>COLDVSNA_P1</t>
  </si>
  <si>
    <t>тыс. куб. м</t>
  </si>
  <si>
    <t>HOTVSNA_P2</t>
  </si>
  <si>
    <t>тыс. Гкал</t>
  </si>
  <si>
    <t>VOTV_P1</t>
  </si>
  <si>
    <t>HEAT_P3</t>
  </si>
  <si>
    <t>Добавить источник тепловой энергии</t>
  </si>
  <si>
    <t>тыс. Гкал/год</t>
  </si>
  <si>
    <t>человек</t>
  </si>
  <si>
    <t>HEAT_P4</t>
  </si>
  <si>
    <t>VSNA</t>
  </si>
  <si>
    <t>тыс. кВт·ч на тыс. куб. м</t>
  </si>
  <si>
    <t>COLDVSNA_P2</t>
  </si>
  <si>
    <t>HEAT_P5</t>
  </si>
  <si>
    <t>тыс. кВт.ч/Гкал</t>
  </si>
  <si>
    <t>куб.м/Гкал</t>
  </si>
  <si>
    <t>Flag_Col_Size</t>
  </si>
  <si>
    <t>Информация об основных показателях финансово-хозяйственной деятельности организации холодного водоснабжения, включая структуру основных производственных затрат (в части регулируемых видов деятельности в сфере холодного водоснабжения)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</si>
</sst>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7" formatCode="#,##0.000"/>
    <numFmt numFmtId="168" formatCode="#,##0.0000"/>
    <numFmt numFmtId="173" formatCode="_-* #,##0.00[$€-1]_-;\-* #,##0.00[$€-1]_-;_-* &quot;-&quot;??[$€-1]_-"/>
    <numFmt numFmtId="174" formatCode="#,##0.0"/>
  </numFmts>
  <fonts count="28">
    <font>
      <sz val="11"/>
      <color theme="1"/>
      <name val="Calibri"/>
      <family val="2"/>
      <scheme val="minor"/>
    </font>
    <font>
      <sz val="9"/>
      <color rgb="FF000000"/>
      <name val="Tahoma"/>
    </font>
    <font>
      <sz val="12"/>
      <name val="Arial"/>
    </font>
    <font>
      <sz val="10"/>
      <name val="Helv"/>
    </font>
    <font>
      <sz val="8"/>
      <name val="Arial"/>
    </font>
    <font>
      <sz val="9"/>
      <name val="Tahoma"/>
    </font>
    <font>
      <sz val="8"/>
      <name val="Palatino"/>
    </font>
    <font>
      <u/>
      <sz val="10"/>
      <color rgb="FF800080"/>
      <name val="Arial Cyr"/>
    </font>
    <font>
      <sz val="8"/>
      <name val="Helv"/>
    </font>
    <font>
      <u/>
      <sz val="9"/>
      <color theme="10"/>
      <name val="Tahoma"/>
    </font>
    <font>
      <sz val="10"/>
      <name val="Arial"/>
    </font>
    <font>
      <u/>
      <sz val="9"/>
      <color theme="11"/>
      <name val="Tahoma"/>
    </font>
    <font>
      <sz val="9"/>
      <color rgb="FFFFFFFF"/>
      <name val="Tahoma"/>
    </font>
    <font>
      <sz val="9"/>
      <color rgb="FFBCBCBC"/>
      <name val="Tahoma"/>
    </font>
    <font>
      <sz val="11"/>
      <color rgb="FFBCBCBC"/>
      <name val="Wingdings 2"/>
    </font>
    <font>
      <sz val="9"/>
      <color rgb="FF000080"/>
      <name val="Tahoma"/>
    </font>
    <font>
      <sz val="9"/>
      <color theme="0"/>
      <name val="Tahoma"/>
    </font>
    <font>
      <sz val="1"/>
      <color theme="0"/>
      <name val="Tahoma"/>
    </font>
    <font>
      <b/>
      <sz val="9"/>
      <name val="Tahoma"/>
    </font>
    <font>
      <u/>
      <sz val="9"/>
      <color rgb="FF333399"/>
      <name val="Tahoma"/>
    </font>
    <font>
      <sz val="9"/>
      <color rgb="FFFF0000"/>
      <name val="Tahoma"/>
    </font>
    <font>
      <sz val="1"/>
      <color rgb="FFFFFFFF"/>
      <name val="Tahoma"/>
    </font>
    <font>
      <sz val="1"/>
      <name val="Tahoma"/>
    </font>
    <font>
      <sz val="15"/>
      <color theme="0"/>
      <name val="Tahoma"/>
    </font>
    <font>
      <sz val="1"/>
      <color rgb="FFFF0000"/>
      <name val="Tahoma"/>
    </font>
    <font>
      <sz val="7"/>
      <name val="Tahoma"/>
    </font>
    <font>
      <b/>
      <sz val="1"/>
      <color theme="0"/>
      <name val="Tahoma"/>
    </font>
    <font>
      <b/>
      <sz val="9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D7EAD3"/>
      </patternFill>
    </fill>
    <fill>
      <patternFill patternType="solid">
        <fgColor rgb="FFFFFFFF"/>
      </patternFill>
    </fill>
    <fill>
      <patternFill patternType="solid">
        <fgColor rgb="FFFFFFC0"/>
      </patternFill>
    </fill>
    <fill>
      <patternFill patternType="lightDown">
        <fgColor rgb="FFC0C0C0"/>
      </patternFill>
    </fill>
    <fill>
      <patternFill patternType="solid">
        <fgColor rgb="FFE3FAFD"/>
      </patternFill>
    </fill>
    <fill>
      <patternFill patternType="solid">
        <fgColor rgb="FFB7E4FF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</borders>
  <cellStyleXfs count="16">
    <xf numFmtId="0" fontId="0" fillId="0" borderId="0"/>
    <xf numFmtId="49" fontId="1" fillId="0" borderId="0" applyFill="0" applyBorder="0">
      <alignment vertical="top"/>
    </xf>
    <xf numFmtId="0" fontId="2" fillId="0" borderId="0" applyFill="0" applyBorder="0">
      <alignment vertical="top"/>
    </xf>
    <xf numFmtId="0" fontId="3" fillId="0" borderId="0" applyFill="0" applyBorder="0"/>
    <xf numFmtId="173" fontId="3" fillId="0" borderId="0" applyFill="0" applyBorder="0"/>
    <xf numFmtId="38" fontId="4" fillId="0" borderId="0" applyFill="0" applyBorder="0">
      <alignment vertical="top"/>
    </xf>
    <xf numFmtId="174" fontId="5" fillId="2" borderId="0" applyBorder="0">
      <protection locked="0"/>
    </xf>
    <xf numFmtId="0" fontId="6" fillId="0" borderId="0" applyFill="0" applyBorder="0">
      <alignment vertical="center"/>
    </xf>
    <xf numFmtId="167" fontId="5" fillId="2" borderId="0" applyBorder="0">
      <protection locked="0"/>
    </xf>
    <xf numFmtId="168" fontId="5" fillId="2" borderId="0" applyBorder="0">
      <protection locked="0"/>
    </xf>
    <xf numFmtId="0" fontId="7" fillId="0" borderId="0" applyFill="0" applyBorder="0">
      <alignment vertical="top"/>
    </xf>
    <xf numFmtId="0" fontId="8" fillId="0" borderId="0" applyFill="0" applyBorder="0"/>
    <xf numFmtId="49" fontId="5" fillId="0" borderId="0" applyFill="0" applyBorder="0">
      <alignment vertical="top"/>
    </xf>
    <xf numFmtId="0" fontId="10" fillId="0" borderId="0" applyFill="0" applyBorder="0"/>
    <xf numFmtId="49" fontId="1" fillId="0" borderId="0" applyFill="0" applyBorder="0">
      <alignment vertical="top"/>
    </xf>
    <xf numFmtId="0" fontId="11" fillId="0" borderId="0" applyFill="0" applyBorder="0">
      <alignment vertical="top"/>
    </xf>
  </cellStyleXfs>
  <cellXfs count="105">
    <xf numFmtId="0" fontId="0" fillId="0" borderId="0" xfId="0"/>
    <xf numFmtId="49" fontId="25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23" fillId="0" borderId="0" xfId="0" applyNumberFormat="1" applyFont="1" applyAlignment="1">
      <alignment vertical="center" wrapText="1"/>
    </xf>
    <xf numFmtId="0" fontId="17" fillId="0" borderId="10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left" vertical="center" wrapText="1" indent="2"/>
    </xf>
    <xf numFmtId="0" fontId="1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 indent="3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>
      <alignment horizontal="center" vertical="top" wrapText="1"/>
    </xf>
    <xf numFmtId="49" fontId="5" fillId="7" borderId="1" xfId="0" applyNumberFormat="1" applyFont="1" applyFill="1" applyBorder="1" applyAlignment="1" applyProtection="1">
      <alignment vertical="center" wrapText="1"/>
      <protection locked="0"/>
    </xf>
    <xf numFmtId="0" fontId="5" fillId="0" borderId="2" xfId="0" applyNumberFormat="1" applyFont="1" applyBorder="1" applyAlignment="1">
      <alignment horizontal="center" vertical="center" wrapText="1"/>
    </xf>
    <xf numFmtId="168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Alignment="1">
      <alignment horizontal="left" vertical="center" wrapText="1" indent="3"/>
    </xf>
    <xf numFmtId="0" fontId="26" fillId="4" borderId="0" xfId="0" applyNumberFormat="1" applyFont="1" applyFill="1" applyAlignment="1">
      <alignment horizontal="right" vertical="center"/>
    </xf>
    <xf numFmtId="0" fontId="5" fillId="0" borderId="3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horizontal="right" vertical="center" wrapText="1" indent="1"/>
    </xf>
    <xf numFmtId="0" fontId="5" fillId="0" borderId="2" xfId="0" applyNumberFormat="1" applyFont="1" applyBorder="1" applyAlignment="1">
      <alignment horizontal="right" vertical="center" wrapText="1" inden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right" vertical="center" wrapText="1" indent="1"/>
    </xf>
    <xf numFmtId="0" fontId="5" fillId="0" borderId="1" xfId="0" applyNumberFormat="1" applyFont="1" applyBorder="1" applyAlignment="1">
      <alignment horizontal="left" vertical="center" wrapText="1"/>
    </xf>
    <xf numFmtId="4" fontId="5" fillId="7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left" vertical="center" wrapText="1" indent="1"/>
    </xf>
    <xf numFmtId="49" fontId="25" fillId="9" borderId="0" xfId="0" applyNumberFormat="1" applyFont="1" applyFill="1" applyAlignment="1">
      <alignment horizontal="center" vertical="center" textRotation="90" wrapText="1"/>
    </xf>
    <xf numFmtId="0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4" fillId="0" borderId="0" xfId="0" applyNumberFormat="1" applyFont="1" applyAlignment="1">
      <alignment vertical="center" wrapText="1"/>
    </xf>
    <xf numFmtId="0" fontId="21" fillId="0" borderId="0" xfId="0" applyNumberFormat="1" applyFont="1" applyAlignment="1">
      <alignment vertical="center" wrapText="1"/>
    </xf>
    <xf numFmtId="0" fontId="22" fillId="0" borderId="0" xfId="0" applyNumberFormat="1" applyFont="1" applyAlignment="1">
      <alignment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center" wrapText="1" indent="3"/>
    </xf>
    <xf numFmtId="4" fontId="22" fillId="0" borderId="1" xfId="0" applyNumberFormat="1" applyFont="1" applyBorder="1" applyAlignment="1">
      <alignment horizontal="right" vertical="center" wrapText="1"/>
    </xf>
    <xf numFmtId="0" fontId="14" fillId="0" borderId="0" xfId="0" applyNumberFormat="1" applyFont="1" applyAlignment="1">
      <alignment horizontal="center" vertical="center" wrapText="1"/>
    </xf>
    <xf numFmtId="49" fontId="5" fillId="6" borderId="3" xfId="0" applyNumberFormat="1" applyFont="1" applyFill="1" applyBorder="1" applyAlignment="1">
      <alignment vertical="center" wrapText="1"/>
    </xf>
    <xf numFmtId="49" fontId="15" fillId="6" borderId="4" xfId="0" applyNumberFormat="1" applyFont="1" applyFill="1" applyBorder="1" applyAlignment="1">
      <alignment horizontal="left" vertical="center" indent="2"/>
    </xf>
    <xf numFmtId="0" fontId="5" fillId="6" borderId="4" xfId="0" applyNumberFormat="1" applyFont="1" applyFill="1" applyBorder="1" applyAlignment="1">
      <alignment vertical="center" wrapText="1"/>
    </xf>
    <xf numFmtId="0" fontId="16" fillId="6" borderId="2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 indent="2"/>
    </xf>
    <xf numFmtId="14" fontId="5" fillId="0" borderId="0" xfId="0" applyNumberFormat="1" applyFont="1" applyAlignment="1">
      <alignment horizontal="center" vertical="center" wrapText="1"/>
    </xf>
    <xf numFmtId="49" fontId="25" fillId="9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168" fontId="5" fillId="7" borderId="1" xfId="0" applyNumberFormat="1" applyFont="1" applyFill="1" applyBorder="1" applyAlignment="1" applyProtection="1">
      <alignment horizontal="right" vertical="center" wrapText="1"/>
      <protection locked="0"/>
    </xf>
    <xf numFmtId="49" fontId="25" fillId="0" borderId="0" xfId="0" applyNumberFormat="1" applyFont="1" applyAlignment="1">
      <alignment horizontal="left" vertical="center" wrapText="1"/>
    </xf>
    <xf numFmtId="0" fontId="16" fillId="0" borderId="0" xfId="0" applyNumberFormat="1" applyFont="1" applyAlignment="1">
      <alignment horizontal="left" vertical="center" wrapText="1"/>
    </xf>
    <xf numFmtId="0" fontId="1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20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Border="1" applyAlignment="1">
      <alignment horizontal="left" vertical="center" wrapText="1" indent="3"/>
    </xf>
    <xf numFmtId="49" fontId="17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 indent="2"/>
    </xf>
    <xf numFmtId="4" fontId="5" fillId="7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0" applyNumberFormat="1" applyFont="1" applyBorder="1" applyAlignment="1">
      <alignment horizontal="left" vertical="center" wrapText="1" inden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49" fontId="19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1" xfId="0" applyNumberFormat="1" applyFont="1" applyFill="1" applyBorder="1" applyAlignment="1" applyProtection="1">
      <alignment horizontal="left" vertical="center" wrapText="1"/>
      <protection locked="0"/>
    </xf>
    <xf numFmtId="168" fontId="5" fillId="7" borderId="2" xfId="0" applyNumberFormat="1" applyFont="1" applyFill="1" applyBorder="1" applyAlignment="1" applyProtection="1">
      <alignment horizontal="right" vertical="center" wrapText="1"/>
      <protection locked="0"/>
    </xf>
    <xf numFmtId="168" fontId="5" fillId="3" borderId="2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2" xfId="0" applyNumberFormat="1" applyFont="1" applyBorder="1" applyAlignment="1">
      <alignment horizontal="left" vertical="center" wrapText="1" indent="1"/>
    </xf>
    <xf numFmtId="0" fontId="17" fillId="0" borderId="12" xfId="0" applyNumberFormat="1" applyFont="1" applyBorder="1" applyAlignment="1">
      <alignment horizontal="center" vertical="center" wrapText="1"/>
    </xf>
    <xf numFmtId="49" fontId="5" fillId="6" borderId="13" xfId="0" applyNumberFormat="1" applyFont="1" applyFill="1" applyBorder="1" applyAlignment="1">
      <alignment vertical="center" wrapText="1"/>
    </xf>
    <xf numFmtId="49" fontId="15" fillId="6" borderId="6" xfId="0" applyNumberFormat="1" applyFont="1" applyFill="1" applyBorder="1" applyAlignment="1">
      <alignment horizontal="left" vertical="center" indent="1"/>
    </xf>
    <xf numFmtId="0" fontId="5" fillId="0" borderId="7" xfId="0" applyNumberFormat="1" applyFont="1" applyBorder="1" applyAlignment="1">
      <alignment horizontal="center" vertical="center" wrapText="1"/>
    </xf>
    <xf numFmtId="168" fontId="5" fillId="7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8" xfId="0" applyNumberFormat="1" applyFont="1" applyBorder="1" applyAlignment="1">
      <alignment horizontal="left" vertical="center" wrapText="1" indent="1"/>
    </xf>
    <xf numFmtId="0" fontId="17" fillId="0" borderId="5" xfId="0" applyNumberFormat="1" applyFont="1" applyBorder="1" applyAlignment="1">
      <alignment horizontal="center" vertical="center" wrapText="1"/>
    </xf>
    <xf numFmtId="49" fontId="15" fillId="6" borderId="4" xfId="0" applyNumberFormat="1" applyFont="1" applyFill="1" applyBorder="1" applyAlignment="1">
      <alignment horizontal="left" vertical="center" indent="1"/>
    </xf>
    <xf numFmtId="0" fontId="17" fillId="0" borderId="5" xfId="0" applyNumberFormat="1" applyFont="1" applyBorder="1" applyAlignment="1">
      <alignment horizontal="left" vertical="center" wrapText="1" indent="1"/>
    </xf>
    <xf numFmtId="49" fontId="19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Alignment="1">
      <alignment horizontal="right" vertical="top" wrapText="1"/>
    </xf>
    <xf numFmtId="0" fontId="5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horizontal="left" vertical="top" wrapText="1"/>
    </xf>
    <xf numFmtId="0" fontId="20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 wrapText="1"/>
    </xf>
    <xf numFmtId="0" fontId="27" fillId="0" borderId="6" xfId="0" applyNumberFormat="1" applyFont="1" applyBorder="1" applyAlignment="1">
      <alignment horizontal="left" vertical="top" wrapText="1" indent="1"/>
    </xf>
    <xf numFmtId="0" fontId="27" fillId="0" borderId="9" xfId="0" applyNumberFormat="1" applyFont="1" applyBorder="1" applyAlignment="1">
      <alignment horizontal="left" vertical="center" wrapText="1" indent="1"/>
    </xf>
  </cellXfs>
  <cellStyles count="30">
    <cellStyle name=" 1" xfId="3"/>
    <cellStyle name=" 1 2" xfId="4"/>
    <cellStyle name=" 1_Stage1" xfId="3"/>
    <cellStyle name="_Model_RAB Мой_PR.PROG.WARM.NOTCOMBI.2012.2.16_v1.4(04.04.11) " xfId="5"/>
    <cellStyle name="_Model_RAB Мой_Книга2_PR.PROG.WARM.NOTCOMBI.2012.2.16_v1.4(04.04.11) " xfId="5"/>
    <cellStyle name="_Model_RAB_MRSK_svod_PR.PROG.WARM.NOTCOMBI.2012.2.16_v1.4(04.04.11) " xfId="5"/>
    <cellStyle name="_Model_RAB_MRSK_svod_Книга2_PR.PROG.WARM.NOTCOMBI.2012.2.16_v1.4(04.04.11) " xfId="5"/>
    <cellStyle name="_МОДЕЛЬ_1 (2)_PR.PROG.WARM.NOTCOMBI.2012.2.16_v1.4(04.04.11) " xfId="5"/>
    <cellStyle name="_МОДЕЛЬ_1 (2)_Книга2_PR.PROG.WARM.NOTCOMBI.2012.2.16_v1.4(04.04.11) " xfId="5"/>
    <cellStyle name="_пр 5 тариф RAB_PR.PROG.WARM.NOTCOMBI.2012.2.16_v1.4(04.04.11) " xfId="5"/>
    <cellStyle name="_пр 5 тариф RAB_Книга2_PR.PROG.WARM.NOTCOMBI.2012.2.16_v1.4(04.04.11) " xfId="5"/>
    <cellStyle name="_Расчет RAB_22072008_PR.PROG.WARM.NOTCOMBI.2012.2.16_v1.4(04.04.11) " xfId="5"/>
    <cellStyle name="_Расчет RAB_22072008_Книга2_PR.PROG.WARM.NOTCOMBI.2012.2.16_v1.4(04.04.11) " xfId="5"/>
    <cellStyle name="_Расчет RAB_Лен и МОЭСК_с 2010 года_14.04.2009_со сглаж_version 3.0_без ФСК_PR.PROG.WARM.NOTCOMBI.2012.2.16_v1.4(04.04.11) " xfId="5"/>
    <cellStyle name="_Расчет RAB_Лен и МОЭСК_с 2010 года_14.04.2009_со сглаж_version 3.0_без ФСК_Книга2_PR.PROG.WARM.NOTCOMBI.2012.2.16_v1.4(04.04.11) " xfId="5"/>
    <cellStyle name="currency1" xfId="6"/>
    <cellStyle name="Currency2" xfId="7"/>
    <cellStyle name="currency3" xfId="8"/>
    <cellStyle name="currency4" xfId="9"/>
    <cellStyle name="Followed Hyperlink" xfId="10"/>
    <cellStyle name="normal" xfId="2"/>
    <cellStyle name="Normal1" xfId="11"/>
    <cellStyle name="Normal2" xfId="7"/>
    <cellStyle name="Percent1" xfId="7"/>
    <cellStyle name="Обычный" xfId="0" builtinId="0"/>
    <cellStyle name="Обычный 10" xfId="12"/>
    <cellStyle name="Обычный 16" xfId="13"/>
    <cellStyle name="Обычный 2" xfId="14"/>
    <cellStyle name="Обычный 3" xfId="1"/>
    <cellStyle name="Открывавшаяся гиперссылка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&#1056;&#1042;&#1050;-&#1054;&#1088;&#1089;&#1082;/2023/PP108.OPEN.INFO.BALANCE.COLDVSNA.EIAS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Т-ТЭ | предел"/>
      <sheetName val="ТС. Т-ТЭ | индикат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ТС. Т-подкл(инд)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Показатели ОТЭП"/>
      <sheetName val="Стандарты качества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TEHSHEET"/>
      <sheetName val="Орган регулирования"/>
      <sheetName val="Перечень организаций"/>
      <sheetName val="Дела об установлении тарифов"/>
      <sheetName val="Дела об утверждении ПУЦ"/>
      <sheetName val="Привлечение к ответственности"/>
      <sheetName val="ЭД"/>
      <sheetName val="Сведения об изменении"/>
      <sheetName val="Комментарии"/>
      <sheetName val="Проверка"/>
      <sheetName val="et_union_hor"/>
      <sheetName val="DATA_FORMS"/>
      <sheetName val="DATA_NPA"/>
      <sheetName val="Т-ТЭ | потр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31">
          <cell r="F31" t="str">
            <v>ООО "РВК- Орск"</v>
          </cell>
        </row>
      </sheetData>
      <sheetData sheetId="2"/>
      <sheetData sheetId="3">
        <row r="12">
          <cell r="O12" t="str">
            <v>ID_DIFF</v>
          </cell>
          <cell r="P12" t="str">
            <v>VD</v>
          </cell>
          <cell r="Q12" t="str">
            <v>AREA</v>
          </cell>
          <cell r="R12" t="str">
            <v>SYSTEM</v>
          </cell>
        </row>
        <row r="13">
          <cell r="O13" t="str">
            <v>diff_1</v>
          </cell>
          <cell r="P13" t="str">
            <v>Холодное водоснабжение. Питьевая вода</v>
          </cell>
          <cell r="Q13" t="str">
            <v>Территория 1</v>
          </cell>
          <cell r="R13" t="str">
            <v>без дифференциации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BB2" t="str">
            <v>газ природный по регулируемой цене</v>
          </cell>
        </row>
        <row r="3">
          <cell r="BB3" t="str">
            <v>газ природный по нерегулируемой цене</v>
          </cell>
        </row>
        <row r="4">
          <cell r="BB4" t="str">
            <v>газ сжиженный</v>
          </cell>
        </row>
        <row r="5">
          <cell r="BB5" t="str">
            <v>газовый конденсат</v>
          </cell>
        </row>
        <row r="6">
          <cell r="BB6" t="str">
            <v>гшз</v>
          </cell>
        </row>
        <row r="7">
          <cell r="BB7" t="str">
            <v>мазут</v>
          </cell>
        </row>
        <row r="8">
          <cell r="BB8" t="str">
            <v>нефть</v>
          </cell>
        </row>
        <row r="9">
          <cell r="BB9" t="str">
            <v>дизельное топливо</v>
          </cell>
        </row>
        <row r="10">
          <cell r="BB10" t="str">
            <v>уголь бурый</v>
          </cell>
        </row>
        <row r="11">
          <cell r="K11" t="str">
            <v>Торги/аукционы</v>
          </cell>
          <cell r="BB11" t="str">
            <v>уголь каменный</v>
          </cell>
        </row>
        <row r="12">
          <cell r="K12" t="str">
            <v>Прямые договора без торгов</v>
          </cell>
          <cell r="BB12" t="str">
            <v>торф</v>
          </cell>
        </row>
        <row r="13">
          <cell r="K13" t="str">
            <v>Прочее</v>
          </cell>
          <cell r="BB13" t="str">
            <v>дрова</v>
          </cell>
        </row>
        <row r="14">
          <cell r="BB14" t="str">
            <v>опил</v>
          </cell>
        </row>
        <row r="15">
          <cell r="J15" t="str">
            <v>тыс. Гкал</v>
          </cell>
          <cell r="BB15" t="str">
            <v>отходы березовые</v>
          </cell>
        </row>
        <row r="16">
          <cell r="J16" t="str">
            <v>Гкал/ч</v>
          </cell>
          <cell r="BB16" t="str">
            <v>отходы осиновые</v>
          </cell>
        </row>
        <row r="17">
          <cell r="BB17" t="str">
            <v>печное топливо</v>
          </cell>
        </row>
        <row r="18">
          <cell r="BB18" t="str">
            <v>пилеты</v>
          </cell>
        </row>
        <row r="19">
          <cell r="BB19" t="str">
            <v>смола</v>
          </cell>
        </row>
        <row r="20">
          <cell r="BB20" t="str">
            <v>щепа</v>
          </cell>
        </row>
        <row r="21">
          <cell r="BB21" t="str">
            <v>горючий сланец</v>
          </cell>
        </row>
        <row r="22">
          <cell r="BB22" t="str">
            <v>керосин</v>
          </cell>
        </row>
        <row r="23">
          <cell r="BB23" t="str">
            <v>кислородно-водородная смесь</v>
          </cell>
        </row>
        <row r="24">
          <cell r="BB24" t="str">
            <v>электроэнергия (НН)</v>
          </cell>
        </row>
        <row r="25">
          <cell r="BB25" t="str">
            <v>электроэнергия (СН1)</v>
          </cell>
        </row>
        <row r="26">
          <cell r="BB26" t="str">
            <v>электроэнергия (СН2)</v>
          </cell>
        </row>
        <row r="27">
          <cell r="BB27" t="str">
            <v>электроэнергия (ВН)</v>
          </cell>
        </row>
        <row r="28">
          <cell r="BB28" t="str">
            <v>мощность</v>
          </cell>
        </row>
        <row r="29">
          <cell r="BB29" t="str">
            <v>прочее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C6" t="str">
            <v>Форма 4. Информация об основных показателях финансово-хозяйственной деятельности организации холодного водоснабжения, включая структуру основных производственных затрат (в части регулируемых видов деятельности в сфере холодного водоснабжения)</v>
          </cell>
        </row>
      </sheetData>
      <sheetData sheetId="62">
        <row r="18">
          <cell r="L18">
            <v>1</v>
          </cell>
          <cell r="M18" t="str">
            <v>Выручка от регулируемых видов деятельности в сфере холодного водоснабжения</v>
          </cell>
          <cell r="N18" t="str">
            <v>Указывается выручка с распределением по видам деятельности.</v>
          </cell>
        </row>
        <row r="19">
          <cell r="L19">
            <v>2</v>
          </cell>
          <cell r="M19" t="str">
            <v>Себестоимость производимых товаров (оказываемых услуг) по регулируемым видам деятельности в сфере холодного водоснабжения, включая:</v>
          </cell>
          <cell r="N19" t="str">
            <v>Указывается суммарная себестоимость производимых товаров.</v>
          </cell>
        </row>
        <row r="20">
          <cell r="L20" t="str">
            <v>2.1</v>
          </cell>
          <cell r="M20" t="str">
            <v>Расходы на оплату холодной воды, приобретаемой у других организаций для последующей подачи потребителям</v>
          </cell>
          <cell r="N20" t="str">
            <v/>
          </cell>
        </row>
        <row r="21">
          <cell r="L21" t="str">
            <v/>
          </cell>
          <cell r="M21" t="str">
            <v/>
          </cell>
          <cell r="N21" t="str">
            <v/>
          </cell>
        </row>
        <row r="22">
          <cell r="L22" t="str">
            <v/>
          </cell>
          <cell r="M22" t="str">
            <v/>
          </cell>
          <cell r="N22" t="str">
            <v/>
          </cell>
        </row>
        <row r="23">
          <cell r="L23" t="str">
            <v/>
          </cell>
          <cell r="M23" t="str">
            <v/>
          </cell>
          <cell r="N23" t="str">
            <v/>
          </cell>
        </row>
        <row r="24">
          <cell r="L24" t="str">
            <v/>
          </cell>
          <cell r="M24" t="str">
            <v/>
          </cell>
          <cell r="N24" t="str">
            <v/>
          </cell>
        </row>
        <row r="25">
          <cell r="L25" t="str">
            <v>2.2</v>
          </cell>
          <cell r="M25" t="str">
            <v>Расходы на приобретаемую электрическую энергию (мощность), используемую в технологическом процессе</v>
          </cell>
          <cell r="N25" t="str">
            <v/>
          </cell>
        </row>
        <row r="26">
          <cell r="L26" t="str">
            <v>2.2.1</v>
          </cell>
          <cell r="M26" t="str">
            <v>Средневзвешенная стоимость 1 кВт.ч (с учетом мощности)</v>
          </cell>
          <cell r="N26" t="str">
            <v/>
          </cell>
        </row>
        <row r="27">
          <cell r="L27" t="str">
            <v>2.2.2</v>
          </cell>
          <cell r="M27" t="str">
            <v>Объём приобретения электрической энергии</v>
          </cell>
          <cell r="N27" t="str">
            <v/>
          </cell>
        </row>
        <row r="28">
          <cell r="L28" t="str">
            <v/>
          </cell>
          <cell r="M28" t="str">
            <v/>
          </cell>
          <cell r="N28" t="str">
            <v/>
          </cell>
        </row>
        <row r="29">
          <cell r="L29" t="str">
            <v>2.3</v>
          </cell>
          <cell r="M29" t="str">
            <v>Расходы на химические реагенты, используемые в технологическом процессе</v>
          </cell>
          <cell r="N29" t="str">
            <v/>
          </cell>
        </row>
        <row r="30">
          <cell r="L30" t="str">
            <v>2.4</v>
          </cell>
          <cell r="M30" t="str">
            <v>Расходы на оплату труда и страховые взносы на обязательное социальное страхование, выплачиваемые из фонда оплаты труда основного производственного персонала, в том числе:</v>
          </cell>
          <cell r="N30" t="str">
            <v>Указывается общая сумма расходов на оплату труда и отчислений на социальные нужды основного производственного персонала.</v>
          </cell>
        </row>
        <row r="31">
          <cell r="L31" t="str">
            <v>2.4.1</v>
          </cell>
          <cell r="M31" t="str">
            <v>Расходы на оплату труда основного производственного персонала</v>
          </cell>
          <cell r="N31" t="str">
            <v/>
          </cell>
        </row>
        <row r="32">
          <cell r="L32" t="str">
            <v>2.4.2</v>
          </cell>
          <cell r="M32" t="str">
            <v>Страховые взносы на обязательное социальное страхование, выплачиваемые из фонда оплаты труда основного производственного персонала</v>
          </cell>
          <cell r="N32" t="str">
            <v/>
          </cell>
        </row>
        <row r="33">
          <cell r="L33" t="str">
            <v>2.5</v>
          </cell>
          <cell r="M33" t="str">
            <v>Расходы на оплату труда и страховые взносы на обязательное социальное страхование, выплачиваемые из фонда оплаты труда административно-управленческого персонала, в том числе:</v>
          </cell>
          <cell r="N33" t="str">
            <v>Указывается общая сумма расходов на оплату труда и отчислений на социальные нужды административно-управленческого персонала.</v>
          </cell>
        </row>
        <row r="34">
          <cell r="L34" t="str">
            <v>2.5.1</v>
          </cell>
          <cell r="M34" t="str">
            <v>Расходы на оплату труда административно-управленческого персонала</v>
          </cell>
          <cell r="N34" t="str">
            <v/>
          </cell>
        </row>
        <row r="35">
          <cell r="L35" t="str">
            <v>2.5.2</v>
          </cell>
          <cell r="M35" t="str">
            <v>Страховые взносы на обязательное социальное страхование, выплачиваемые из фонда оплаты труда административно-управленческого персонала</v>
          </cell>
          <cell r="N35" t="str">
            <v/>
          </cell>
        </row>
        <row r="36">
          <cell r="L36" t="str">
            <v>2.6</v>
          </cell>
          <cell r="M36" t="str">
            <v>Расходы на амортизацию основных средств и нематериальных активов</v>
          </cell>
          <cell r="N36" t="str">
            <v/>
          </cell>
        </row>
        <row r="37">
          <cell r="L37" t="str">
            <v>2.6.1</v>
          </cell>
          <cell r="M37" t="str">
            <v>Расходы на амортизацию основных средств</v>
          </cell>
          <cell r="N37" t="str">
            <v/>
          </cell>
        </row>
        <row r="38">
          <cell r="L38" t="str">
            <v>2.6.2</v>
          </cell>
          <cell r="M38" t="str">
            <v>Расходы на амортизацию нематериальных активов</v>
          </cell>
          <cell r="N38" t="str">
            <v/>
          </cell>
        </row>
        <row r="39">
          <cell r="L39" t="str">
            <v>2.7</v>
          </cell>
          <cell r="M39" t="str">
            <v>Расходы на аренду имущества, используемого для осуществления регулируемых видов деятельности в сфере холодного водоснабжения</v>
          </cell>
          <cell r="N39" t="str">
            <v/>
          </cell>
        </row>
        <row r="40">
          <cell r="L40" t="str">
            <v>2.8</v>
          </cell>
          <cell r="M40" t="str">
            <v>Общепроизводственные расходы, в том числе:</v>
          </cell>
          <cell r="N40" t="str">
            <v>Указывается общая сумма общепроизводственных расходов.</v>
          </cell>
        </row>
        <row r="41">
          <cell r="L41" t="str">
            <v>2.8.1</v>
          </cell>
          <cell r="M41" t="str">
            <v>Расходы на текущий ремонт</v>
          </cell>
          <cell r="N41" t="str">
            <v>Указываются расходы на текущий ремонт, отнесенные к общепроизводственным расходам.</v>
          </cell>
        </row>
        <row r="42">
          <cell r="L42" t="str">
            <v>2.8.2</v>
          </cell>
          <cell r="M42" t="str">
            <v>Расходы на капитальный ремонт</v>
          </cell>
          <cell r="N42" t="str">
            <v>Указываются расходы на капитальный ремонт, отнесенные к общепроизводственным расходам.</v>
          </cell>
        </row>
        <row r="43">
          <cell r="L43" t="str">
            <v>2.9</v>
          </cell>
          <cell r="M43" t="str">
            <v>Общехозяйственные расходы, в том числе:</v>
          </cell>
          <cell r="N43" t="str">
            <v>Указывается общая сумма общехозяйственных расходов.</v>
          </cell>
        </row>
        <row r="44">
          <cell r="L44" t="str">
            <v>2.9.1</v>
          </cell>
          <cell r="M44" t="str">
            <v>Расходы на текущий ремонт</v>
          </cell>
          <cell r="N44" t="str">
            <v>Указываются расходы на текущий ремонт, отнесенные к общехозяйственным расходам.</v>
          </cell>
        </row>
        <row r="45">
          <cell r="L45" t="str">
            <v>2.9.2</v>
          </cell>
          <cell r="M45" t="str">
            <v>Расходы на капитальный ремонт</v>
          </cell>
          <cell r="N45" t="str">
            <v>Указываются расходы на капитальный ремонт, отнесенные к общехозяйственным расходам.</v>
          </cell>
        </row>
        <row r="46">
          <cell r="L46" t="str">
            <v>2.10</v>
          </cell>
          <cell r="M46" t="str">
            <v>Расходы на капитальный и текущий ремонт основных средств</v>
          </cell>
          <cell r="N46" t="str">
    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</row>
        <row r="47">
          <cell r="L47" t="str">
            <v>2.10.1</v>
          </cell>
          <cell r="M47" t="str">
    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  <cell r="N47" t="str">
            <v/>
          </cell>
        </row>
        <row r="48">
          <cell r="L48" t="str">
            <v>2.11</v>
          </cell>
          <cell r="M48" t="str">
            <v xml:space="preserve"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</v>
          </cell>
          <cell r="N48" t="str">
    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</row>
        <row r="49">
          <cell r="L49" t="str">
            <v>2.11.1</v>
          </cell>
          <cell r="M49" t="str">
    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  <cell r="N49" t="str">
            <v/>
          </cell>
        </row>
        <row r="50">
          <cell r="L50" t="str">
            <v>2.12</v>
          </cell>
          <cell r="M50" t="str">
            <v>Прочие расходы,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г. N 406 "О государственном регулировании тарифов в сфере водоснабжения и водоотведения" (далее - Основы ценообразования в сфере водоснабжения и водоотведения)</v>
          </cell>
          <cell r="N50" t="str">
            <v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v>
          </cell>
        </row>
        <row r="51">
          <cell r="L51" t="str">
            <v/>
          </cell>
          <cell r="M51" t="str">
            <v/>
          </cell>
          <cell r="N51" t="str">
            <v/>
          </cell>
        </row>
        <row r="52">
          <cell r="L52" t="str">
            <v>3</v>
          </cell>
          <cell r="M52" t="str">
            <v>Чистая прибыль, полученная от регулируемого вида деятельности в сфере холодного водоснабжения, в том числе:</v>
          </cell>
          <cell r="N52" t="str">
            <v>Указывается общая сумма чистой прибыли, полученной от регулируемого вида деятельности.</v>
          </cell>
        </row>
        <row r="53">
          <cell r="L53" t="str">
            <v>3.1</v>
          </cell>
          <cell r="M53" t="str">
            <v>Размер расходования чистой прибыли на финансирование мероприятий, предусмотренных инвестиционной программой регулируемой организации</v>
          </cell>
          <cell r="N53" t="str">
            <v/>
          </cell>
        </row>
        <row r="54">
          <cell r="L54" t="str">
            <v>4</v>
          </cell>
          <cell r="M54" t="str">
            <v>Изменение стоимости основных фондов, в том числе:</v>
          </cell>
          <cell r="N54" t="str">
            <v>Указывается общее изменение стоимости основных фондов.</v>
          </cell>
        </row>
        <row r="55">
          <cell r="L55" t="str">
            <v>4.1</v>
          </cell>
          <cell r="M55" t="str">
            <v>Изменение стоимости основных фондов за счет их ввода в эксплуатацию (вывода из эксплуатации)</v>
          </cell>
          <cell r="N55" t="str">
            <v>Указываются общее изменение стоимости основных фондов за счет их ввода в эксплуатацию и вывода из эксплуатации.</v>
          </cell>
        </row>
        <row r="56">
          <cell r="L56" t="str">
            <v>4.1.1</v>
          </cell>
          <cell r="M56" t="str">
            <v>Изменение стоимости основных фондов за счет их ввода в эксплуатацию</v>
          </cell>
          <cell r="N56" t="str">
            <v>Указываются изменение стоимости основных фондов за счет их ввода в эксплуатацию.</v>
          </cell>
        </row>
        <row r="57">
          <cell r="L57" t="str">
            <v>4.1.2</v>
          </cell>
          <cell r="M57" t="str">
            <v>Изменение стоимости основных фондов за счет их вывода в эксплуатацию</v>
          </cell>
          <cell r="N57" t="str">
            <v>Указываются изменение стоимости основных фондов за счет их вывода из эксплуатации.</v>
          </cell>
        </row>
        <row r="58">
          <cell r="L58" t="str">
            <v>4.2</v>
          </cell>
          <cell r="M58" t="str">
            <v>Изменение стоимости основных фондов за счет их переоценки</v>
          </cell>
          <cell r="N58" t="str">
            <v/>
          </cell>
        </row>
        <row r="59">
          <cell r="L59" t="str">
            <v>5</v>
          </cell>
          <cell r="M59" t="str">
            <v>Валовая прибыль (убытки) от продажи товаров и услуг по регулируемым видам деятельности в сфере холодного водоснабжения</v>
          </cell>
          <cell r="N59" t="str">
            <v/>
          </cell>
        </row>
        <row r="60">
          <cell r="L60" t="str">
            <v>6</v>
          </cell>
          <cell r="M60" t="str">
            <v>Годовая бухгалтерская (финансовая) отчетность, включая бухгалтерский баланс и приложения к нему</v>
          </cell>
          <cell r="N60" t="str">
            <v>Указывается ссылка на документ, предварительно загруженный в хранилище файлов ФГИС ЕИАС._x000D_
Раскрывается регулируемой организацией, выручка от регулируемых видов деятельности в сфере водоснабжения и (или) водоотведения которой превышает 80 процентов совокупной выручки за отчетный год.</v>
          </cell>
        </row>
        <row r="61">
          <cell r="L61" t="str">
            <v>7</v>
          </cell>
          <cell r="M61" t="str">
            <v>Объём поднятой воды</v>
          </cell>
          <cell r="N61" t="str">
            <v/>
          </cell>
        </row>
        <row r="62">
          <cell r="L62" t="str">
            <v>8</v>
          </cell>
          <cell r="M62" t="str">
            <v>Объём покупной воды</v>
          </cell>
          <cell r="N62" t="str">
            <v/>
          </cell>
        </row>
        <row r="63">
          <cell r="L63" t="str">
            <v>9</v>
          </cell>
          <cell r="M63" t="str">
            <v>Объём воды, пропущенной через очистные сооружения</v>
          </cell>
          <cell r="N63" t="str">
            <v/>
          </cell>
        </row>
        <row r="64">
          <cell r="L64" t="str">
            <v>10</v>
          </cell>
          <cell r="M64" t="str">
            <v>Объём отпущенной потребителям воды, в том числе:</v>
          </cell>
          <cell r="N64" t="str">
            <v>Указывается общий объем отпущенной потребителям воды.</v>
          </cell>
        </row>
        <row r="65">
          <cell r="L65" t="str">
            <v>10.1</v>
          </cell>
          <cell r="M65" t="str">
            <v>Объём отпущенной потребителям воды, определенный по приборам учета</v>
          </cell>
          <cell r="N65" t="str">
            <v/>
          </cell>
        </row>
        <row r="66">
          <cell r="L66" t="str">
            <v>10.2</v>
          </cell>
          <cell r="M66" t="str">
            <v>Объём отпущенной потребителям воды, определенный расчетным способом</v>
          </cell>
          <cell r="N66" t="str">
            <v/>
          </cell>
        </row>
        <row r="67">
          <cell r="L67" t="str">
            <v>10.2.1</v>
          </cell>
          <cell r="M67" t="str">
            <v>Объём отпущенной потребителям воды, определенный по нормативам потребления коммунальных услуг</v>
          </cell>
          <cell r="N67" t="str">
            <v/>
          </cell>
        </row>
        <row r="68">
          <cell r="L68" t="str">
            <v>10.2.2</v>
          </cell>
          <cell r="M68" t="str">
            <v xml:space="preserve">Объём отпущенной потребителям воды, определенный по нормативам потребления коммунальных ресурсов </v>
          </cell>
          <cell r="N68" t="str">
            <v/>
          </cell>
        </row>
        <row r="69">
          <cell r="L69" t="str">
            <v>11</v>
          </cell>
          <cell r="M69" t="str">
            <v>Потери воды в сетях</v>
          </cell>
          <cell r="N69" t="str">
            <v/>
          </cell>
        </row>
        <row r="70">
          <cell r="L70" t="str">
            <v/>
          </cell>
          <cell r="M70" t="str">
            <v/>
          </cell>
          <cell r="N70" t="str">
            <v/>
          </cell>
        </row>
        <row r="71">
          <cell r="L71" t="str">
            <v/>
          </cell>
          <cell r="M71" t="str">
            <v/>
          </cell>
          <cell r="N71" t="str">
            <v/>
          </cell>
        </row>
        <row r="72">
          <cell r="L72" t="str">
            <v/>
          </cell>
          <cell r="M72" t="str">
            <v/>
          </cell>
          <cell r="N72" t="str">
            <v/>
          </cell>
        </row>
        <row r="73">
          <cell r="L73" t="str">
            <v/>
          </cell>
          <cell r="M73" t="str">
            <v/>
          </cell>
          <cell r="N73" t="str">
            <v/>
          </cell>
        </row>
        <row r="74">
          <cell r="L74" t="str">
            <v/>
          </cell>
          <cell r="M74" t="str">
            <v/>
          </cell>
          <cell r="N74" t="str">
            <v/>
          </cell>
        </row>
        <row r="75">
          <cell r="L75" t="str">
            <v/>
          </cell>
          <cell r="M75" t="str">
            <v/>
          </cell>
          <cell r="N75" t="str">
            <v/>
          </cell>
        </row>
        <row r="76">
          <cell r="L76" t="str">
            <v/>
          </cell>
          <cell r="M76" t="str">
            <v/>
          </cell>
          <cell r="N76" t="str">
            <v/>
          </cell>
        </row>
        <row r="77">
          <cell r="L77" t="str">
            <v/>
          </cell>
          <cell r="M77" t="str">
            <v/>
          </cell>
          <cell r="N77" t="str">
            <v/>
          </cell>
        </row>
        <row r="78">
          <cell r="L78" t="str">
            <v/>
          </cell>
          <cell r="M78" t="str">
            <v/>
          </cell>
          <cell r="N78" t="str">
            <v/>
          </cell>
        </row>
        <row r="79">
          <cell r="L79" t="str">
            <v/>
          </cell>
          <cell r="M79" t="str">
            <v/>
          </cell>
          <cell r="N79" t="str">
            <v/>
          </cell>
        </row>
        <row r="80">
          <cell r="L80" t="str">
            <v/>
          </cell>
          <cell r="M80" t="str">
            <v/>
          </cell>
          <cell r="N80" t="str">
            <v/>
          </cell>
        </row>
        <row r="81">
          <cell r="L81" t="str">
            <v/>
          </cell>
          <cell r="M81" t="str">
            <v/>
          </cell>
          <cell r="N81" t="str">
            <v/>
          </cell>
        </row>
        <row r="82">
          <cell r="L82" t="str">
            <v/>
          </cell>
          <cell r="M82" t="str">
            <v/>
          </cell>
          <cell r="N82" t="str">
            <v/>
          </cell>
        </row>
        <row r="83">
          <cell r="L83" t="str">
            <v/>
          </cell>
          <cell r="M83" t="str">
            <v/>
          </cell>
          <cell r="N83" t="str">
            <v/>
          </cell>
        </row>
        <row r="84">
          <cell r="L84" t="str">
            <v/>
          </cell>
          <cell r="M84" t="str">
            <v/>
          </cell>
          <cell r="N84" t="str">
            <v/>
          </cell>
        </row>
        <row r="85">
          <cell r="L85" t="str">
            <v/>
          </cell>
          <cell r="M85" t="str">
            <v/>
          </cell>
          <cell r="N85" t="str">
            <v/>
          </cell>
        </row>
        <row r="86">
          <cell r="L86" t="str">
            <v/>
          </cell>
          <cell r="M86" t="str">
            <v/>
          </cell>
          <cell r="N86" t="str">
            <v/>
          </cell>
        </row>
        <row r="87">
          <cell r="L87" t="str">
            <v/>
          </cell>
          <cell r="M87" t="str">
            <v/>
          </cell>
          <cell r="N87" t="str">
            <v/>
          </cell>
        </row>
        <row r="88">
          <cell r="L88" t="str">
            <v/>
          </cell>
          <cell r="M88" t="str">
            <v/>
          </cell>
          <cell r="N88" t="str">
            <v/>
          </cell>
        </row>
        <row r="89">
          <cell r="L89" t="str">
            <v>12</v>
          </cell>
          <cell r="M89" t="str">
            <v>Среднесписочная численность основного производственного персонала</v>
          </cell>
          <cell r="N89" t="str">
            <v/>
          </cell>
        </row>
        <row r="90">
          <cell r="L90" t="str">
            <v/>
          </cell>
          <cell r="M90" t="str">
            <v/>
          </cell>
          <cell r="N90" t="str">
            <v/>
          </cell>
        </row>
        <row r="91">
          <cell r="L91" t="str">
            <v>13</v>
          </cell>
          <cell r="M91" t="str">
            <v>Удельный расход электрической энергии на подачу воды в сеть</v>
          </cell>
          <cell r="N91" t="str">
            <v/>
          </cell>
        </row>
        <row r="92">
          <cell r="L92" t="str">
            <v>14</v>
          </cell>
          <cell r="M92" t="str">
            <v>Расход воды на собственные нужды, в том числе:</v>
          </cell>
          <cell r="N92" t="str">
            <v>Указывается доля общего расхода воды на собственные нужны от объема отпуска воды потребителям.</v>
          </cell>
        </row>
        <row r="93">
          <cell r="L93" t="str">
            <v>14.1</v>
          </cell>
          <cell r="M93" t="str">
            <v>Расход воды на хозяйственно-бытовые нужды</v>
          </cell>
          <cell r="N93" t="str">
            <v>Указывается доля расхода воды на хозяйственно-бытовые нужны от объема отпуска воды потребителям.</v>
          </cell>
        </row>
        <row r="94">
          <cell r="L94" t="str">
            <v>15</v>
          </cell>
          <cell r="M94" t="str">
            <v>Показатель использования производственных объектов (по объему перекачки), в том числе:</v>
          </cell>
          <cell r="N94" t="str">
            <v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</v>
          </cell>
        </row>
        <row r="95">
          <cell r="L95" t="str">
            <v/>
          </cell>
          <cell r="M95" t="str">
            <v/>
          </cell>
          <cell r="N95" t="str">
            <v/>
          </cell>
        </row>
        <row r="96">
          <cell r="L96" t="str">
            <v/>
          </cell>
          <cell r="M96" t="str">
            <v/>
          </cell>
          <cell r="N96" t="str">
            <v/>
          </cell>
        </row>
        <row r="97">
          <cell r="L97" t="str">
            <v/>
          </cell>
          <cell r="M97" t="str">
            <v/>
          </cell>
          <cell r="N97" t="str">
            <v/>
          </cell>
        </row>
        <row r="98">
          <cell r="L98" t="str">
            <v/>
          </cell>
          <cell r="M98" t="str">
            <v/>
          </cell>
          <cell r="N98" t="str">
            <v/>
          </cell>
        </row>
        <row r="99">
          <cell r="L99" t="str">
            <v/>
          </cell>
          <cell r="M99" t="str">
            <v/>
          </cell>
          <cell r="N99" t="str">
            <v/>
          </cell>
        </row>
        <row r="100">
          <cell r="L100" t="str">
            <v/>
          </cell>
          <cell r="M100" t="str">
            <v/>
          </cell>
          <cell r="N100" t="str">
            <v/>
          </cell>
        </row>
        <row r="101">
          <cell r="L101" t="str">
            <v/>
          </cell>
          <cell r="M101" t="str">
            <v/>
          </cell>
          <cell r="N101" t="str">
            <v/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566c4ed8-e785-4dae-a87a-2d9e0bd976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9"/>
  <sheetViews>
    <sheetView tabSelected="1" topLeftCell="D20" workbookViewId="0">
      <selection activeCell="I94" sqref="I94"/>
    </sheetView>
  </sheetViews>
  <sheetFormatPr defaultColWidth="9.140625" defaultRowHeight="15"/>
  <cols>
    <col min="1" max="1" width="10.7109375" style="1" hidden="1" customWidth="1"/>
    <col min="2" max="2" width="16.85546875" style="2" hidden="1" customWidth="1"/>
    <col min="3" max="3" width="5.5703125" style="3" hidden="1" customWidth="1"/>
    <col min="4" max="4" width="3" style="4" customWidth="1"/>
    <col min="5" max="5" width="7" style="4" customWidth="1"/>
    <col min="6" max="6" width="54" style="4" customWidth="1"/>
    <col min="7" max="7" width="10" style="4" customWidth="1"/>
    <col min="8" max="8" width="40.7109375" style="4" hidden="1" customWidth="1"/>
    <col min="9" max="9" width="40.7109375" style="4" customWidth="1"/>
    <col min="10" max="10" width="9" style="2" customWidth="1"/>
    <col min="11" max="11" width="5" style="3" customWidth="1"/>
    <col min="12" max="12" width="3" style="3" customWidth="1"/>
    <col min="13" max="16" width="3" style="2" customWidth="1"/>
    <col min="17" max="17" width="10" style="3" customWidth="1"/>
    <col min="18" max="18" width="34" style="2" customWidth="1"/>
    <col min="19" max="19" width="9" style="2" customWidth="1"/>
    <col min="20" max="20" width="8" style="5" customWidth="1"/>
    <col min="21" max="25" width="8" style="2" customWidth="1"/>
    <col min="26" max="30" width="8" style="6" customWidth="1"/>
    <col min="31" max="31" width="9.140625" style="4"/>
    <col min="32" max="16384" width="9.140625" style="7"/>
  </cols>
  <sheetData>
    <row r="1" spans="1:31" ht="22.5" hidden="1" customHeight="1">
      <c r="AE1" s="4" t="s">
        <v>0</v>
      </c>
    </row>
    <row r="2" spans="1:31" ht="23.25" hidden="1" customHeight="1">
      <c r="B2" s="8"/>
      <c r="C2" s="9" t="s">
        <v>1</v>
      </c>
      <c r="D2" s="10"/>
      <c r="E2" s="11">
        <f>B2</f>
        <v>0</v>
      </c>
      <c r="F2" s="12"/>
      <c r="G2" s="13" t="s">
        <v>2</v>
      </c>
      <c r="H2" s="13" t="s">
        <v>2</v>
      </c>
      <c r="I2" s="13" t="s">
        <v>2</v>
      </c>
      <c r="J2" s="14"/>
      <c r="AE2" s="4">
        <v>0</v>
      </c>
    </row>
    <row r="3" spans="1:31" s="3" customFormat="1" ht="0.75" hidden="1" customHeight="1">
      <c r="B3" s="8"/>
      <c r="C3" s="9"/>
      <c r="D3" s="9"/>
      <c r="E3" s="15"/>
      <c r="F3" s="16" t="s">
        <v>3</v>
      </c>
      <c r="G3" s="17"/>
      <c r="H3" s="17">
        <f>H4*H5+H6</f>
        <v>0</v>
      </c>
      <c r="I3" s="17">
        <f>I4*I5+I6</f>
        <v>0</v>
      </c>
      <c r="AE3" s="3">
        <v>0</v>
      </c>
    </row>
    <row r="4" spans="1:31" ht="23.25" hidden="1" customHeight="1">
      <c r="B4" s="8"/>
      <c r="C4" s="9"/>
      <c r="D4" s="10"/>
      <c r="E4" s="11" t="str">
        <f>B2&amp;".1"</f>
        <v>.1</v>
      </c>
      <c r="F4" s="18" t="s">
        <v>4</v>
      </c>
      <c r="G4" s="19"/>
      <c r="H4" s="20"/>
      <c r="I4" s="20"/>
      <c r="J4" s="14"/>
      <c r="AE4" s="4">
        <v>0</v>
      </c>
    </row>
    <row r="5" spans="1:31" ht="18.75" hidden="1" customHeight="1">
      <c r="B5" s="8"/>
      <c r="C5" s="9"/>
      <c r="D5" s="10"/>
      <c r="E5" s="11" t="str">
        <f>B2&amp;".2"</f>
        <v>.2</v>
      </c>
      <c r="F5" s="18" t="s">
        <v>5</v>
      </c>
      <c r="G5" s="13" t="s">
        <v>6</v>
      </c>
      <c r="H5" s="20"/>
      <c r="I5" s="20"/>
      <c r="J5" s="14"/>
      <c r="AE5" s="4">
        <v>0</v>
      </c>
    </row>
    <row r="6" spans="1:31" ht="18.75" hidden="1" customHeight="1">
      <c r="B6" s="8"/>
      <c r="C6" s="9"/>
      <c r="D6" s="10"/>
      <c r="E6" s="11" t="str">
        <f>B2&amp;".3"</f>
        <v>.3</v>
      </c>
      <c r="F6" s="18" t="s">
        <v>7</v>
      </c>
      <c r="G6" s="13" t="s">
        <v>6</v>
      </c>
      <c r="H6" s="20"/>
      <c r="I6" s="20"/>
      <c r="J6" s="14"/>
      <c r="AE6" s="4">
        <v>0</v>
      </c>
    </row>
    <row r="7" spans="1:31" ht="18.75" hidden="1" customHeight="1">
      <c r="B7" s="8"/>
      <c r="C7" s="9"/>
      <c r="D7" s="10"/>
      <c r="E7" s="11" t="str">
        <f>B2&amp;".4"</f>
        <v>.4</v>
      </c>
      <c r="F7" s="18" t="s">
        <v>8</v>
      </c>
      <c r="G7" s="13" t="s">
        <v>2</v>
      </c>
      <c r="H7" s="21"/>
      <c r="I7" s="21"/>
      <c r="J7" s="14"/>
      <c r="AE7" s="4">
        <v>0</v>
      </c>
    </row>
    <row r="8" spans="1:31" s="2" customFormat="1" ht="11.25" hidden="1" customHeight="1">
      <c r="A8" s="1"/>
      <c r="C8" s="3"/>
      <c r="H8" s="2">
        <v>4</v>
      </c>
      <c r="I8" s="2">
        <v>4</v>
      </c>
      <c r="K8" s="3"/>
      <c r="L8" s="3"/>
      <c r="Q8" s="3"/>
      <c r="AE8" s="2">
        <v>0</v>
      </c>
    </row>
    <row r="9" spans="1:31" s="2" customFormat="1" ht="22.5" hidden="1" customHeight="1">
      <c r="A9" s="1"/>
      <c r="C9" s="3"/>
      <c r="D9" s="22"/>
      <c r="E9" s="13"/>
      <c r="F9" s="23"/>
      <c r="G9" s="13" t="s">
        <v>6</v>
      </c>
      <c r="H9" s="20"/>
      <c r="I9" s="20"/>
      <c r="J9" s="14"/>
      <c r="K9" s="3"/>
      <c r="L9" s="3"/>
      <c r="Q9" s="3"/>
      <c r="T9" s="5"/>
      <c r="Z9" s="6"/>
      <c r="AA9" s="6"/>
      <c r="AB9" s="6"/>
      <c r="AC9" s="6"/>
      <c r="AD9" s="6"/>
      <c r="AE9" s="2">
        <v>0</v>
      </c>
    </row>
    <row r="10" spans="1:31" ht="11.25" hidden="1" customHeight="1">
      <c r="AE10" s="4">
        <v>0</v>
      </c>
    </row>
    <row r="11" spans="1:31" ht="18.75" hidden="1" customHeight="1">
      <c r="D11" s="10"/>
      <c r="E11" s="11"/>
      <c r="F11" s="23"/>
      <c r="G11" s="13" t="s">
        <v>9</v>
      </c>
      <c r="H11" s="20"/>
      <c r="I11" s="20"/>
      <c r="J11" s="14"/>
      <c r="AE11" s="4">
        <v>0</v>
      </c>
    </row>
    <row r="12" spans="1:31" ht="11.25" hidden="1" customHeight="1">
      <c r="AE12" s="4">
        <v>0</v>
      </c>
    </row>
    <row r="13" spans="1:31" ht="22.5" hidden="1" customHeight="1">
      <c r="D13" s="10"/>
      <c r="E13" s="11"/>
      <c r="F13" s="23"/>
      <c r="G13" s="24" t="s">
        <v>10</v>
      </c>
      <c r="H13" s="25"/>
      <c r="I13" s="25"/>
      <c r="J13" s="14"/>
      <c r="AE13" s="4">
        <v>0</v>
      </c>
    </row>
    <row r="14" spans="1:31" ht="11.25" hidden="1" customHeight="1">
      <c r="AE14" s="4">
        <v>0</v>
      </c>
    </row>
    <row r="15" spans="1:31" ht="22.5" hidden="1" customHeight="1">
      <c r="D15" s="10"/>
      <c r="E15" s="11"/>
      <c r="F15" s="23"/>
      <c r="G15" s="13" t="s">
        <v>11</v>
      </c>
      <c r="H15" s="25"/>
      <c r="I15" s="25"/>
      <c r="J15" s="14"/>
      <c r="AE15" s="4">
        <v>0</v>
      </c>
    </row>
    <row r="16" spans="1:31" ht="11.25" hidden="1" customHeight="1">
      <c r="AE16" s="4">
        <v>0</v>
      </c>
    </row>
    <row r="17" spans="1:31" ht="22.5" hidden="1" customHeight="1">
      <c r="D17" s="10"/>
      <c r="E17" s="11"/>
      <c r="F17" s="23"/>
      <c r="G17" s="13" t="s">
        <v>12</v>
      </c>
      <c r="H17" s="25"/>
      <c r="I17" s="25"/>
      <c r="J17" s="14"/>
      <c r="AE17" s="4">
        <v>0</v>
      </c>
    </row>
    <row r="18" spans="1:31" ht="11.25" hidden="1" customHeight="1">
      <c r="AE18" s="4">
        <v>0</v>
      </c>
    </row>
    <row r="19" spans="1:31" s="6" customFormat="1" ht="11.25" hidden="1" customHeight="1">
      <c r="A19" s="1"/>
      <c r="B19" s="2"/>
      <c r="C19" s="3"/>
      <c r="J19" s="2"/>
      <c r="K19" s="3"/>
      <c r="L19" s="3"/>
      <c r="M19" s="2"/>
      <c r="N19" s="2"/>
      <c r="O19" s="2"/>
      <c r="P19" s="2"/>
      <c r="Q19" s="3"/>
      <c r="R19" s="2"/>
      <c r="S19" s="2"/>
      <c r="T19" s="5"/>
      <c r="U19" s="2"/>
      <c r="V19" s="2"/>
      <c r="W19" s="2"/>
      <c r="X19" s="2"/>
      <c r="Y19" s="2"/>
      <c r="AE19" s="6">
        <v>0</v>
      </c>
    </row>
    <row r="20" spans="1:31" ht="11.45" customHeight="1">
      <c r="AE20" s="4">
        <v>11</v>
      </c>
    </row>
    <row r="21" spans="1:31" ht="39.75" customHeight="1">
      <c r="E21" s="103" t="s">
        <v>64</v>
      </c>
      <c r="F21" s="103"/>
      <c r="G21" s="103"/>
      <c r="H21" s="103"/>
      <c r="I21" s="103"/>
      <c r="AE21" s="4">
        <v>24</v>
      </c>
    </row>
    <row r="22" spans="1:31" ht="25.15" customHeight="1">
      <c r="E22" s="104" t="str">
        <f>IF(org=0,"Не определено",org)</f>
        <v>ООО "РВК- Орск"</v>
      </c>
      <c r="F22" s="104"/>
      <c r="G22" s="104"/>
      <c r="H22" s="104"/>
      <c r="I22" s="104"/>
      <c r="AE22" s="4">
        <v>24</v>
      </c>
    </row>
    <row r="23" spans="1:31" ht="11.45" customHeight="1">
      <c r="E23" s="26"/>
      <c r="F23" s="26"/>
      <c r="G23" s="26"/>
      <c r="H23" s="26"/>
      <c r="I23" s="26"/>
      <c r="AE23" s="4">
        <v>11</v>
      </c>
    </row>
    <row r="24" spans="1:31" s="3" customFormat="1" ht="1.1499999999999999" customHeight="1">
      <c r="A24" s="9"/>
      <c r="H24" s="27"/>
      <c r="I24" s="27" t="s">
        <v>13</v>
      </c>
      <c r="AE24" s="3">
        <v>1</v>
      </c>
    </row>
    <row r="25" spans="1:31" ht="11.45" customHeight="1">
      <c r="E25" s="28"/>
      <c r="F25" s="29" t="s">
        <v>14</v>
      </c>
      <c r="G25" s="30"/>
      <c r="H25" s="31" t="str">
        <f>IF(H24="","",INDEX(DIFFERENTIATION_UNMERGE_VD,MATCH(H24,DIFFERENTIATION_ID_DIFF,0)))</f>
        <v/>
      </c>
      <c r="I25" s="31" t="str">
        <f>IF(I24="","",INDEX(DIFFERENTIATION_UNMERGE_VD,MATCH(I24,DIFFERENTIATION_ID_DIFF,0)))</f>
        <v>Холодное водоснабжение. Питьевая вода</v>
      </c>
      <c r="AE25" s="4">
        <v>11</v>
      </c>
    </row>
    <row r="26" spans="1:31" ht="11.45" customHeight="1">
      <c r="E26" s="28"/>
      <c r="F26" s="29" t="s">
        <v>16</v>
      </c>
      <c r="G26" s="30"/>
      <c r="H26" s="31" t="str">
        <f>IF(H24="","",INDEX(DIFFERENTIATION_UNMERGE_AREA,MATCH(H24,DIFFERENTIATION_ID_DIFF,0)))</f>
        <v/>
      </c>
      <c r="I26" s="31" t="str">
        <f>IF(I24="","",INDEX(DIFFERENTIATION_UNMERGE_AREA,MATCH(I24,DIFFERENTIATION_ID_DIFF,0)))</f>
        <v>Территория 1</v>
      </c>
      <c r="AE26" s="4">
        <v>11</v>
      </c>
    </row>
    <row r="27" spans="1:31" ht="11.45" customHeight="1">
      <c r="E27" s="28"/>
      <c r="F27" s="29" t="s">
        <v>17</v>
      </c>
      <c r="G27" s="30"/>
      <c r="H27" s="31" t="str">
        <f>IF(H24="","",INDEX(DIFFERENTIATION_UNMERGE_SYSTEM,MATCH(H24,DIFFERENTIATION_ID_DIFF,0)))</f>
        <v/>
      </c>
      <c r="I27" s="31" t="str">
        <f>IF(I24="","",INDEX(DIFFERENTIATION_UNMERGE_SYSTEM,MATCH(I24,DIFFERENTIATION_ID_DIFF,0)))</f>
        <v>без дифференциации</v>
      </c>
      <c r="AE27" s="4">
        <v>11</v>
      </c>
    </row>
    <row r="28" spans="1:31" ht="11.45" customHeight="1">
      <c r="E28" s="32" t="s">
        <v>18</v>
      </c>
      <c r="F28" s="33"/>
      <c r="G28" s="33"/>
      <c r="H28" s="34"/>
      <c r="I28" s="34"/>
      <c r="AE28" s="4">
        <v>11</v>
      </c>
    </row>
    <row r="29" spans="1:31" ht="24" customHeight="1">
      <c r="E29" s="13" t="s">
        <v>19</v>
      </c>
      <c r="F29" s="13" t="s">
        <v>20</v>
      </c>
      <c r="G29" s="13" t="s">
        <v>21</v>
      </c>
      <c r="H29" s="13" t="s">
        <v>22</v>
      </c>
      <c r="I29" s="13" t="s">
        <v>22</v>
      </c>
      <c r="AE29" s="4">
        <v>23</v>
      </c>
    </row>
    <row r="30" spans="1:31" ht="42.75" customHeight="1">
      <c r="D30" s="10"/>
      <c r="E30" s="11">
        <f>FHD_NUM_P_1</f>
        <v>1</v>
      </c>
      <c r="F30" s="35" t="str">
        <f>FHD_P_1</f>
        <v>Выручка от регулируемых видов деятельности в сфере холодного водоснабжения</v>
      </c>
      <c r="G30" s="13" t="s">
        <v>6</v>
      </c>
      <c r="H30" s="36"/>
      <c r="I30" s="36">
        <v>470737.70449999999</v>
      </c>
      <c r="J30" s="14"/>
      <c r="AE30" s="4">
        <v>19</v>
      </c>
    </row>
    <row r="31" spans="1:31" ht="42.75" customHeight="1">
      <c r="D31" s="10"/>
      <c r="E31" s="11">
        <f>FHD_NUM_P_2</f>
        <v>2</v>
      </c>
      <c r="F31" s="35" t="str">
        <f>FHD_P_2</f>
        <v>Себестоимость производимых товаров (оказываемых услуг) по регулируемым видам деятельности в сфере холодного водоснабжения, включая:</v>
      </c>
      <c r="G31" s="13" t="s">
        <v>6</v>
      </c>
      <c r="H31" s="37">
        <f>SUMIF($J32:$J78,$J31,H32:H78)</f>
        <v>0</v>
      </c>
      <c r="I31" s="37">
        <f>SUMIF($J32:$J78,$J31,I32:I78)</f>
        <v>415778.2699999999</v>
      </c>
      <c r="J31" s="3" t="s">
        <v>23</v>
      </c>
      <c r="AE31" s="4">
        <v>11</v>
      </c>
    </row>
    <row r="32" spans="1:31" ht="42.75" customHeight="1">
      <c r="D32" s="10"/>
      <c r="E32" s="11" t="str">
        <f>FHD_NUM_P_3</f>
        <v>2.1</v>
      </c>
      <c r="F32" s="38" t="str">
        <f>FHD_P_3</f>
        <v>Расходы на оплату холодной воды, приобретаемой у других организаций для последующей подачи потребителям</v>
      </c>
      <c r="G32" s="13" t="s">
        <v>6</v>
      </c>
      <c r="H32" s="36"/>
      <c r="I32" s="36">
        <v>138.58000000000001</v>
      </c>
      <c r="J32" s="3" t="str">
        <f t="shared" ref="J32:J70" si="0">IF((LEN(E32)-LEN(SUBSTITUTE(E32,".","")))/LEN(".")=1,"p","")</f>
        <v>p</v>
      </c>
      <c r="AE32" s="4">
        <v>11</v>
      </c>
    </row>
    <row r="33" spans="1:31" ht="42.75" hidden="1" customHeight="1">
      <c r="A33" s="39" t="s">
        <v>24</v>
      </c>
      <c r="D33" s="10"/>
      <c r="E33" s="11" t="str">
        <f>FHD_NUM_P_4</f>
        <v/>
      </c>
      <c r="F33" s="38" t="str">
        <f>FHD_P_4</f>
        <v/>
      </c>
      <c r="G33" s="13" t="s">
        <v>6</v>
      </c>
      <c r="H33" s="37">
        <f>SUMIF($F34:$F40,$F3,H34:H40)</f>
        <v>0</v>
      </c>
      <c r="I33" s="37">
        <f>SUMIF($F34:$F40,$F3,I34:I40)</f>
        <v>0</v>
      </c>
      <c r="J33" s="3" t="str">
        <f t="shared" si="0"/>
        <v/>
      </c>
      <c r="AE33" s="4">
        <v>0</v>
      </c>
    </row>
    <row r="34" spans="1:31" s="48" customFormat="1" ht="42.75" hidden="1" customHeight="1">
      <c r="A34" s="39"/>
      <c r="B34" s="40" t="str">
        <f>E33&amp;".0"</f>
        <v>.0</v>
      </c>
      <c r="C34" s="9"/>
      <c r="D34" s="41"/>
      <c r="E34" s="42"/>
      <c r="F34" s="43"/>
      <c r="G34" s="44"/>
      <c r="H34" s="45"/>
      <c r="I34" s="45"/>
      <c r="J34" s="3" t="str">
        <f t="shared" si="0"/>
        <v/>
      </c>
      <c r="K34" s="3"/>
      <c r="L34" s="3"/>
      <c r="M34" s="3"/>
      <c r="N34" s="3"/>
      <c r="O34" s="3"/>
      <c r="P34" s="3"/>
      <c r="Q34" s="3"/>
      <c r="R34" s="3"/>
      <c r="S34" s="3"/>
      <c r="T34" s="46"/>
      <c r="U34" s="3"/>
      <c r="V34" s="3"/>
      <c r="W34" s="3"/>
      <c r="X34" s="3"/>
      <c r="Y34" s="3"/>
      <c r="Z34" s="47"/>
      <c r="AA34" s="47"/>
      <c r="AB34" s="47"/>
      <c r="AC34" s="47"/>
      <c r="AD34" s="47"/>
      <c r="AE34" s="48">
        <v>0</v>
      </c>
    </row>
    <row r="35" spans="1:31" s="48" customFormat="1" ht="42.75" hidden="1" customHeight="1">
      <c r="A35" s="39"/>
      <c r="B35" s="40"/>
      <c r="C35" s="9"/>
      <c r="D35" s="41"/>
      <c r="E35" s="49"/>
      <c r="F35" s="50"/>
      <c r="G35" s="44"/>
      <c r="H35" s="51"/>
      <c r="I35" s="51"/>
      <c r="J35" s="3" t="str">
        <f t="shared" si="0"/>
        <v/>
      </c>
      <c r="K35" s="3"/>
      <c r="L35" s="3"/>
      <c r="M35" s="3"/>
      <c r="N35" s="3"/>
      <c r="O35" s="3"/>
      <c r="P35" s="3"/>
      <c r="Q35" s="3"/>
      <c r="R35" s="3"/>
      <c r="S35" s="3"/>
      <c r="T35" s="46"/>
      <c r="U35" s="3"/>
      <c r="V35" s="3"/>
      <c r="W35" s="3"/>
      <c r="X35" s="3"/>
      <c r="Y35" s="3"/>
      <c r="Z35" s="47"/>
      <c r="AA35" s="47"/>
      <c r="AB35" s="47"/>
      <c r="AC35" s="47"/>
      <c r="AD35" s="47"/>
      <c r="AE35" s="48">
        <v>0</v>
      </c>
    </row>
    <row r="36" spans="1:31" s="48" customFormat="1" ht="42.75" hidden="1" customHeight="1">
      <c r="A36" s="39"/>
      <c r="B36" s="40"/>
      <c r="C36" s="9"/>
      <c r="D36" s="41"/>
      <c r="E36" s="49"/>
      <c r="F36" s="50"/>
      <c r="G36" s="44"/>
      <c r="H36" s="51"/>
      <c r="I36" s="51"/>
      <c r="J36" s="3" t="str">
        <f t="shared" si="0"/>
        <v/>
      </c>
      <c r="K36" s="3"/>
      <c r="L36" s="3"/>
      <c r="M36" s="3"/>
      <c r="N36" s="3"/>
      <c r="O36" s="3"/>
      <c r="P36" s="3"/>
      <c r="Q36" s="3"/>
      <c r="R36" s="3"/>
      <c r="S36" s="3"/>
      <c r="T36" s="46"/>
      <c r="U36" s="3"/>
      <c r="V36" s="3"/>
      <c r="W36" s="3"/>
      <c r="X36" s="3"/>
      <c r="Y36" s="3"/>
      <c r="Z36" s="47"/>
      <c r="AA36" s="47"/>
      <c r="AB36" s="47"/>
      <c r="AC36" s="47"/>
      <c r="AD36" s="47"/>
      <c r="AE36" s="48">
        <v>0</v>
      </c>
    </row>
    <row r="37" spans="1:31" s="48" customFormat="1" ht="42.75" hidden="1" customHeight="1">
      <c r="A37" s="39"/>
      <c r="B37" s="40"/>
      <c r="C37" s="9"/>
      <c r="D37" s="41"/>
      <c r="E37" s="49"/>
      <c r="F37" s="50"/>
      <c r="G37" s="44"/>
      <c r="H37" s="51"/>
      <c r="I37" s="51"/>
      <c r="J37" s="3" t="str">
        <f t="shared" si="0"/>
        <v/>
      </c>
      <c r="K37" s="3"/>
      <c r="L37" s="3"/>
      <c r="M37" s="3"/>
      <c r="N37" s="3"/>
      <c r="O37" s="3"/>
      <c r="P37" s="3"/>
      <c r="Q37" s="3"/>
      <c r="R37" s="3"/>
      <c r="S37" s="3"/>
      <c r="T37" s="46"/>
      <c r="U37" s="3"/>
      <c r="V37" s="3"/>
      <c r="W37" s="3"/>
      <c r="X37" s="3"/>
      <c r="Y37" s="3"/>
      <c r="Z37" s="47"/>
      <c r="AA37" s="47"/>
      <c r="AB37" s="47"/>
      <c r="AC37" s="47"/>
      <c r="AD37" s="47"/>
      <c r="AE37" s="48">
        <v>0</v>
      </c>
    </row>
    <row r="38" spans="1:31" s="48" customFormat="1" ht="42.75" hidden="1" customHeight="1">
      <c r="A38" s="39"/>
      <c r="B38" s="40"/>
      <c r="C38" s="9"/>
      <c r="D38" s="41"/>
      <c r="E38" s="49"/>
      <c r="F38" s="50"/>
      <c r="G38" s="44"/>
      <c r="H38" s="51"/>
      <c r="I38" s="51"/>
      <c r="J38" s="3" t="str">
        <f t="shared" si="0"/>
        <v/>
      </c>
      <c r="K38" s="3"/>
      <c r="L38" s="3"/>
      <c r="M38" s="3"/>
      <c r="N38" s="3"/>
      <c r="O38" s="3"/>
      <c r="P38" s="3"/>
      <c r="Q38" s="3"/>
      <c r="R38" s="3"/>
      <c r="S38" s="3"/>
      <c r="T38" s="46"/>
      <c r="U38" s="3"/>
      <c r="V38" s="3"/>
      <c r="W38" s="3"/>
      <c r="X38" s="3"/>
      <c r="Y38" s="3"/>
      <c r="Z38" s="47"/>
      <c r="AA38" s="47"/>
      <c r="AB38" s="47"/>
      <c r="AC38" s="47"/>
      <c r="AD38" s="47"/>
      <c r="AE38" s="48">
        <v>0</v>
      </c>
    </row>
    <row r="39" spans="1:31" s="48" customFormat="1" ht="42.75" hidden="1" customHeight="1">
      <c r="A39" s="39"/>
      <c r="B39" s="40"/>
      <c r="C39" s="9"/>
      <c r="D39" s="41"/>
      <c r="E39" s="49"/>
      <c r="F39" s="50"/>
      <c r="G39" s="44"/>
      <c r="H39" s="45"/>
      <c r="I39" s="45"/>
      <c r="J39" s="3" t="str">
        <f t="shared" si="0"/>
        <v/>
      </c>
      <c r="K39" s="3"/>
      <c r="L39" s="3"/>
      <c r="M39" s="3"/>
      <c r="N39" s="3"/>
      <c r="O39" s="3"/>
      <c r="P39" s="3"/>
      <c r="Q39" s="3"/>
      <c r="R39" s="3"/>
      <c r="S39" s="3"/>
      <c r="T39" s="46"/>
      <c r="U39" s="3"/>
      <c r="V39" s="3"/>
      <c r="W39" s="3"/>
      <c r="X39" s="3"/>
      <c r="Y39" s="3"/>
      <c r="Z39" s="47"/>
      <c r="AA39" s="47"/>
      <c r="AB39" s="47"/>
      <c r="AC39" s="47"/>
      <c r="AD39" s="47"/>
      <c r="AE39" s="48">
        <v>0</v>
      </c>
    </row>
    <row r="40" spans="1:31" s="2" customFormat="1" ht="42.75" hidden="1" customHeight="1">
      <c r="A40" s="39"/>
      <c r="C40" s="3"/>
      <c r="D40" s="52"/>
      <c r="E40" s="53"/>
      <c r="F40" s="54" t="s">
        <v>25</v>
      </c>
      <c r="G40" s="55"/>
      <c r="H40" s="56"/>
      <c r="I40" s="56"/>
      <c r="J40" s="3" t="str">
        <f t="shared" si="0"/>
        <v/>
      </c>
      <c r="K40" s="3"/>
      <c r="L40" s="3"/>
      <c r="Q40" s="3"/>
      <c r="T40" s="5"/>
      <c r="Z40" s="6"/>
      <c r="AA40" s="6"/>
      <c r="AB40" s="6"/>
      <c r="AC40" s="6"/>
      <c r="AD40" s="6"/>
      <c r="AE40" s="2">
        <v>0</v>
      </c>
    </row>
    <row r="41" spans="1:31" ht="42.75" hidden="1" customHeight="1">
      <c r="A41" s="39" t="s">
        <v>26</v>
      </c>
      <c r="D41" s="10"/>
      <c r="E41" s="11" t="str">
        <f>FHD_NUM_P_5</f>
        <v/>
      </c>
      <c r="F41" s="38" t="str">
        <f>FHD_P_5</f>
        <v/>
      </c>
      <c r="G41" s="13" t="s">
        <v>6</v>
      </c>
      <c r="H41" s="36"/>
      <c r="I41" s="36"/>
      <c r="J41" s="3" t="str">
        <f t="shared" si="0"/>
        <v/>
      </c>
      <c r="AE41" s="4">
        <v>0</v>
      </c>
    </row>
    <row r="42" spans="1:31" ht="42.75" hidden="1" customHeight="1">
      <c r="A42" s="39"/>
      <c r="D42" s="10"/>
      <c r="E42" s="11" t="str">
        <f>FHD_NUM_P_6</f>
        <v/>
      </c>
      <c r="F42" s="38" t="str">
        <f>FHD_P_6</f>
        <v/>
      </c>
      <c r="G42" s="13" t="s">
        <v>6</v>
      </c>
      <c r="H42" s="36"/>
      <c r="I42" s="36"/>
      <c r="J42" s="3" t="str">
        <f t="shared" si="0"/>
        <v/>
      </c>
      <c r="AE42" s="4">
        <v>0</v>
      </c>
    </row>
    <row r="43" spans="1:31" ht="42.75" hidden="1" customHeight="1">
      <c r="A43" s="39"/>
      <c r="D43" s="10"/>
      <c r="E43" s="11" t="str">
        <f>FHD_NUM_P_7</f>
        <v/>
      </c>
      <c r="F43" s="38" t="str">
        <f>FHD_P_7</f>
        <v/>
      </c>
      <c r="G43" s="13" t="s">
        <v>6</v>
      </c>
      <c r="H43" s="36"/>
      <c r="I43" s="36"/>
      <c r="J43" s="3" t="str">
        <f t="shared" si="0"/>
        <v/>
      </c>
      <c r="AE43" s="4">
        <v>0</v>
      </c>
    </row>
    <row r="44" spans="1:31" ht="42.75" customHeight="1">
      <c r="D44" s="10"/>
      <c r="E44" s="11" t="str">
        <f>FHD_NUM_P_8</f>
        <v>2.2</v>
      </c>
      <c r="F44" s="38" t="str">
        <f>FHD_P_8</f>
        <v>Расходы на приобретаемую электрическую энергию (мощность), используемую в технологическом процессе</v>
      </c>
      <c r="G44" s="13" t="s">
        <v>6</v>
      </c>
      <c r="H44" s="36"/>
      <c r="I44" s="36">
        <v>146485.87</v>
      </c>
      <c r="J44" s="3" t="str">
        <f t="shared" si="0"/>
        <v>p</v>
      </c>
      <c r="AE44" s="4">
        <v>11</v>
      </c>
    </row>
    <row r="45" spans="1:31" ht="42.75" customHeight="1">
      <c r="D45" s="10"/>
      <c r="E45" s="11" t="str">
        <f>FHD_NUM_P_9</f>
        <v>2.2.1</v>
      </c>
      <c r="F45" s="57" t="str">
        <f>FHD_P_9</f>
        <v>Средневзвешенная стоимость 1 кВт.ч (с учетом мощности)</v>
      </c>
      <c r="G45" s="13" t="s">
        <v>27</v>
      </c>
      <c r="H45" s="36"/>
      <c r="I45" s="36">
        <v>6.65</v>
      </c>
      <c r="J45" s="3" t="str">
        <f t="shared" si="0"/>
        <v/>
      </c>
      <c r="AE45" s="4">
        <v>11</v>
      </c>
    </row>
    <row r="46" spans="1:31" s="2" customFormat="1" ht="42.75" customHeight="1">
      <c r="A46" s="1"/>
      <c r="C46" s="3"/>
      <c r="D46" s="58"/>
      <c r="E46" s="11" t="str">
        <f>FHD_NUM_P_10</f>
        <v>2.2.2</v>
      </c>
      <c r="F46" s="57" t="str">
        <f>FHD_P_10</f>
        <v>Объём приобретения электрической энергии</v>
      </c>
      <c r="G46" s="13" t="s">
        <v>28</v>
      </c>
      <c r="H46" s="36"/>
      <c r="I46" s="36">
        <v>23990</v>
      </c>
      <c r="J46" s="3" t="str">
        <f t="shared" si="0"/>
        <v/>
      </c>
      <c r="K46" s="3"/>
      <c r="L46" s="3"/>
      <c r="Q46" s="3"/>
      <c r="T46" s="5"/>
      <c r="Z46" s="6"/>
      <c r="AA46" s="6"/>
      <c r="AB46" s="6"/>
      <c r="AC46" s="6"/>
      <c r="AD46" s="6"/>
      <c r="AE46" s="2">
        <v>11</v>
      </c>
    </row>
    <row r="47" spans="1:31" s="2" customFormat="1" ht="42.75" hidden="1" customHeight="1">
      <c r="A47" s="59" t="s">
        <v>29</v>
      </c>
      <c r="C47" s="3"/>
      <c r="D47" s="60"/>
      <c r="E47" s="11" t="str">
        <f>FHD_NUM_P_11</f>
        <v/>
      </c>
      <c r="F47" s="38" t="str">
        <f>FHD_P_11</f>
        <v/>
      </c>
      <c r="G47" s="13" t="s">
        <v>6</v>
      </c>
      <c r="H47" s="36"/>
      <c r="I47" s="36"/>
      <c r="J47" s="3" t="str">
        <f t="shared" si="0"/>
        <v/>
      </c>
      <c r="K47" s="3"/>
      <c r="L47" s="3"/>
      <c r="Q47" s="3"/>
      <c r="T47" s="5"/>
      <c r="Z47" s="6"/>
      <c r="AA47" s="6"/>
      <c r="AB47" s="6"/>
      <c r="AC47" s="6"/>
      <c r="AD47" s="6"/>
      <c r="AE47" s="2">
        <v>0</v>
      </c>
    </row>
    <row r="48" spans="1:31" s="2" customFormat="1" ht="42.75" customHeight="1">
      <c r="A48" s="59" t="s">
        <v>30</v>
      </c>
      <c r="C48" s="3"/>
      <c r="D48" s="10"/>
      <c r="E48" s="11" t="str">
        <f>FHD_NUM_P_12</f>
        <v>2.3</v>
      </c>
      <c r="F48" s="38" t="str">
        <f>FHD_P_12</f>
        <v>Расходы на химические реагенты, используемые в технологическом процессе</v>
      </c>
      <c r="G48" s="13" t="s">
        <v>6</v>
      </c>
      <c r="H48" s="61"/>
      <c r="I48" s="61">
        <v>318.97000000000003</v>
      </c>
      <c r="J48" s="3" t="str">
        <f t="shared" si="0"/>
        <v>p</v>
      </c>
      <c r="K48" s="3"/>
      <c r="L48" s="3"/>
      <c r="Q48" s="3"/>
      <c r="T48" s="5"/>
      <c r="Z48" s="6"/>
      <c r="AA48" s="6"/>
      <c r="AB48" s="6"/>
      <c r="AC48" s="6"/>
      <c r="AD48" s="6"/>
      <c r="AE48" s="2">
        <v>18</v>
      </c>
    </row>
    <row r="49" spans="1:31" s="63" customFormat="1" ht="42.75" customHeight="1">
      <c r="A49" s="62"/>
      <c r="C49" s="64"/>
      <c r="D49" s="65"/>
      <c r="E49" s="11" t="str">
        <f>FHD_NUM_P_13</f>
        <v>2.4</v>
      </c>
      <c r="F49" s="38" t="str">
        <f>FHD_P_13</f>
        <v>Расходы на оплату труда и страховые взносы на обязательное социальное страхование, выплачиваемые из фонда оплаты труда основного производственного персонала, в том числе:</v>
      </c>
      <c r="G49" s="13" t="s">
        <v>6</v>
      </c>
      <c r="H49" s="36"/>
      <c r="I49" s="36">
        <f>I50+I51</f>
        <v>99631.44</v>
      </c>
      <c r="J49" s="3" t="str">
        <f t="shared" si="0"/>
        <v>p</v>
      </c>
      <c r="K49" s="64"/>
      <c r="L49" s="64"/>
      <c r="Q49" s="64"/>
      <c r="T49" s="66"/>
      <c r="Z49" s="67"/>
      <c r="AA49" s="67"/>
      <c r="AB49" s="67"/>
      <c r="AC49" s="67"/>
      <c r="AD49" s="67"/>
      <c r="AE49" s="63">
        <v>11</v>
      </c>
    </row>
    <row r="50" spans="1:31" s="63" customFormat="1" ht="42.75" customHeight="1">
      <c r="A50" s="62"/>
      <c r="C50" s="64"/>
      <c r="D50" s="65"/>
      <c r="E50" s="11" t="str">
        <f>FHD_NUM_P_14</f>
        <v>2.4.1</v>
      </c>
      <c r="F50" s="57" t="str">
        <f>FHD_P_14</f>
        <v>Расходы на оплату труда основного производственного персонала</v>
      </c>
      <c r="G50" s="13" t="s">
        <v>6</v>
      </c>
      <c r="H50" s="36"/>
      <c r="I50" s="36">
        <v>76425.850000000006</v>
      </c>
      <c r="J50" s="3" t="str">
        <f t="shared" si="0"/>
        <v/>
      </c>
      <c r="K50" s="64"/>
      <c r="L50" s="64"/>
      <c r="Q50" s="64"/>
      <c r="T50" s="66"/>
      <c r="Z50" s="67"/>
      <c r="AA50" s="67"/>
      <c r="AB50" s="67"/>
      <c r="AC50" s="67"/>
      <c r="AD50" s="67"/>
      <c r="AE50" s="63">
        <v>11</v>
      </c>
    </row>
    <row r="51" spans="1:31" s="63" customFormat="1" ht="42.75" customHeight="1">
      <c r="A51" s="62"/>
      <c r="C51" s="64"/>
      <c r="D51" s="65"/>
      <c r="E51" s="11" t="str">
        <f>FHD_NUM_P_15</f>
        <v>2.4.2</v>
      </c>
      <c r="F51" s="57" t="str">
        <f>FHD_P_15</f>
        <v>Страховые взносы на обязательное социальное страхование, выплачиваемые из фонда оплаты труда основного производственного персонала</v>
      </c>
      <c r="G51" s="13" t="s">
        <v>6</v>
      </c>
      <c r="H51" s="36"/>
      <c r="I51" s="36">
        <v>23205.59</v>
      </c>
      <c r="J51" s="3" t="str">
        <f t="shared" si="0"/>
        <v/>
      </c>
      <c r="K51" s="64"/>
      <c r="L51" s="64"/>
      <c r="Q51" s="64"/>
      <c r="T51" s="66"/>
      <c r="Z51" s="67"/>
      <c r="AA51" s="67"/>
      <c r="AB51" s="67"/>
      <c r="AC51" s="67"/>
      <c r="AD51" s="67"/>
      <c r="AE51" s="63">
        <v>11</v>
      </c>
    </row>
    <row r="52" spans="1:31" s="2" customFormat="1" ht="42.75" customHeight="1">
      <c r="A52" s="1"/>
      <c r="C52" s="3"/>
      <c r="D52" s="10"/>
      <c r="E52" s="11" t="str">
        <f>FHD_NUM_P_16</f>
        <v>2.5</v>
      </c>
      <c r="F52" s="38" t="str">
        <f>FHD_P_16</f>
        <v>Расходы на оплату труда и страховые взносы на обязательное социальное страхование, выплачиваемые из фонда оплаты труда административно-управленческого персонала, в том числе:</v>
      </c>
      <c r="G52" s="13" t="s">
        <v>6</v>
      </c>
      <c r="H52" s="36"/>
      <c r="I52" s="36">
        <f>I53+I54</f>
        <v>22513.97</v>
      </c>
      <c r="J52" s="3" t="str">
        <f t="shared" si="0"/>
        <v>p</v>
      </c>
      <c r="K52" s="3"/>
      <c r="L52" s="3"/>
      <c r="Q52" s="3"/>
      <c r="T52" s="5"/>
      <c r="Z52" s="6"/>
      <c r="AA52" s="6"/>
      <c r="AB52" s="6"/>
      <c r="AC52" s="6"/>
      <c r="AD52" s="6"/>
      <c r="AE52" s="2">
        <v>11</v>
      </c>
    </row>
    <row r="53" spans="1:31" s="2" customFormat="1" ht="42.75" customHeight="1">
      <c r="A53" s="1"/>
      <c r="C53" s="3"/>
      <c r="D53" s="10"/>
      <c r="E53" s="11" t="str">
        <f>FHD_NUM_P_17</f>
        <v>2.5.1</v>
      </c>
      <c r="F53" s="57" t="str">
        <f>FHD_P_17</f>
        <v>Расходы на оплату труда административно-управленческого персонала</v>
      </c>
      <c r="G53" s="13" t="s">
        <v>6</v>
      </c>
      <c r="H53" s="36"/>
      <c r="I53" s="36">
        <v>17497.310000000001</v>
      </c>
      <c r="J53" s="3" t="str">
        <f t="shared" si="0"/>
        <v/>
      </c>
      <c r="K53" s="3"/>
      <c r="L53" s="3"/>
      <c r="Q53" s="3"/>
      <c r="T53" s="5"/>
      <c r="Z53" s="6"/>
      <c r="AA53" s="6"/>
      <c r="AB53" s="6"/>
      <c r="AC53" s="6"/>
      <c r="AD53" s="6"/>
      <c r="AE53" s="2">
        <v>11</v>
      </c>
    </row>
    <row r="54" spans="1:31" s="2" customFormat="1" ht="42.75" customHeight="1">
      <c r="A54" s="1"/>
      <c r="C54" s="3"/>
      <c r="D54" s="10"/>
      <c r="E54" s="11" t="str">
        <f>FHD_NUM_P_18</f>
        <v>2.5.2</v>
      </c>
      <c r="F54" s="57" t="str">
        <f>FHD_P_18</f>
        <v>Страховые взносы на обязательное социальное страхование, выплачиваемые из фонда оплаты труда административно-управленческого персонала</v>
      </c>
      <c r="G54" s="13" t="s">
        <v>6</v>
      </c>
      <c r="H54" s="36"/>
      <c r="I54" s="36">
        <v>5016.66</v>
      </c>
      <c r="J54" s="3" t="str">
        <f t="shared" si="0"/>
        <v/>
      </c>
      <c r="K54" s="3"/>
      <c r="L54" s="3"/>
      <c r="Q54" s="3"/>
      <c r="T54" s="5"/>
      <c r="Z54" s="6"/>
      <c r="AA54" s="6"/>
      <c r="AB54" s="6"/>
      <c r="AC54" s="6"/>
      <c r="AD54" s="6"/>
      <c r="AE54" s="2">
        <v>11</v>
      </c>
    </row>
    <row r="55" spans="1:31" s="2" customFormat="1" ht="42.75" customHeight="1">
      <c r="A55" s="1"/>
      <c r="C55" s="3"/>
      <c r="D55" s="60"/>
      <c r="E55" s="11" t="str">
        <f>FHD_NUM_P_19</f>
        <v>2.6</v>
      </c>
      <c r="F55" s="38" t="str">
        <f>FHD_P_19</f>
        <v>Расходы на амортизацию основных средств и нематериальных активов</v>
      </c>
      <c r="G55" s="13" t="s">
        <v>6</v>
      </c>
      <c r="H55" s="36"/>
      <c r="I55" s="36">
        <f>I56+I57</f>
        <v>18458.760000000002</v>
      </c>
      <c r="J55" s="3" t="str">
        <f t="shared" si="0"/>
        <v>p</v>
      </c>
      <c r="K55" s="3"/>
      <c r="L55" s="3"/>
      <c r="Q55" s="3"/>
      <c r="T55" s="5"/>
      <c r="Z55" s="6"/>
      <c r="AA55" s="6"/>
      <c r="AB55" s="6"/>
      <c r="AC55" s="6"/>
      <c r="AD55" s="6"/>
      <c r="AE55" s="2">
        <v>11</v>
      </c>
    </row>
    <row r="56" spans="1:31" s="2" customFormat="1" ht="42.75" customHeight="1">
      <c r="A56" s="1"/>
      <c r="C56" s="3"/>
      <c r="D56" s="60"/>
      <c r="E56" s="11" t="str">
        <f>FHD_NUM_P_20</f>
        <v>2.6.1</v>
      </c>
      <c r="F56" s="57" t="str">
        <f>FHD_P_20</f>
        <v>Расходы на амортизацию основных средств</v>
      </c>
      <c r="G56" s="13" t="s">
        <v>6</v>
      </c>
      <c r="H56" s="36"/>
      <c r="I56" s="36">
        <v>16524.61</v>
      </c>
      <c r="J56" s="3" t="str">
        <f t="shared" si="0"/>
        <v/>
      </c>
      <c r="K56" s="3"/>
      <c r="L56" s="3"/>
      <c r="Q56" s="3"/>
      <c r="T56" s="5"/>
      <c r="Z56" s="6"/>
      <c r="AA56" s="6"/>
      <c r="AB56" s="6"/>
      <c r="AC56" s="6"/>
      <c r="AD56" s="6"/>
      <c r="AE56" s="2">
        <v>11</v>
      </c>
    </row>
    <row r="57" spans="1:31" s="2" customFormat="1" ht="11.45" customHeight="1">
      <c r="A57" s="1"/>
      <c r="C57" s="3"/>
      <c r="D57" s="60"/>
      <c r="E57" s="11" t="str">
        <f>FHD_NUM_P_21</f>
        <v>2.6.2</v>
      </c>
      <c r="F57" s="57" t="str">
        <f>FHD_P_21</f>
        <v>Расходы на амортизацию нематериальных активов</v>
      </c>
      <c r="G57" s="13" t="s">
        <v>6</v>
      </c>
      <c r="H57" s="36"/>
      <c r="I57" s="36">
        <v>1934.15</v>
      </c>
      <c r="J57" s="3" t="str">
        <f t="shared" si="0"/>
        <v/>
      </c>
      <c r="K57" s="3"/>
      <c r="L57" s="3"/>
      <c r="Q57" s="3"/>
      <c r="T57" s="5"/>
      <c r="Z57" s="6"/>
      <c r="AA57" s="6"/>
      <c r="AB57" s="6"/>
      <c r="AC57" s="6"/>
      <c r="AD57" s="6"/>
      <c r="AE57" s="2">
        <v>11</v>
      </c>
    </row>
    <row r="58" spans="1:31" s="2" customFormat="1" ht="42.75" customHeight="1">
      <c r="A58" s="1"/>
      <c r="C58" s="3"/>
      <c r="D58" s="10"/>
      <c r="E58" s="11" t="str">
        <f>FHD_NUM_P_22</f>
        <v>2.7</v>
      </c>
      <c r="F58" s="38" t="str">
        <f>FHD_P_22</f>
        <v>Расходы на аренду имущества, используемого для осуществления регулируемых видов деятельности в сфере холодного водоснабжения</v>
      </c>
      <c r="G58" s="13" t="s">
        <v>6</v>
      </c>
      <c r="H58" s="36"/>
      <c r="I58" s="36">
        <v>339.1</v>
      </c>
      <c r="J58" s="3" t="str">
        <f t="shared" si="0"/>
        <v>p</v>
      </c>
      <c r="K58" s="3"/>
      <c r="L58" s="3"/>
      <c r="Q58" s="3"/>
      <c r="T58" s="5"/>
      <c r="Z58" s="6"/>
      <c r="AA58" s="6"/>
      <c r="AB58" s="6"/>
      <c r="AC58" s="6"/>
      <c r="AD58" s="6"/>
      <c r="AE58" s="2">
        <v>11</v>
      </c>
    </row>
    <row r="59" spans="1:31" s="2" customFormat="1" ht="42.75" customHeight="1">
      <c r="A59" s="1"/>
      <c r="C59" s="3"/>
      <c r="D59" s="60"/>
      <c r="E59" s="11" t="str">
        <f>FHD_NUM_P_23</f>
        <v>2.8</v>
      </c>
      <c r="F59" s="38" t="str">
        <f>FHD_P_23</f>
        <v>Общепроизводственные расходы, в том числе:</v>
      </c>
      <c r="G59" s="13" t="s">
        <v>6</v>
      </c>
      <c r="H59" s="36"/>
      <c r="I59" s="36">
        <f>27654.01-1106.56</f>
        <v>26547.449999999997</v>
      </c>
      <c r="J59" s="3" t="str">
        <f t="shared" si="0"/>
        <v>p</v>
      </c>
      <c r="K59" s="3"/>
      <c r="L59" s="3"/>
      <c r="Q59" s="3"/>
      <c r="T59" s="5"/>
      <c r="Z59" s="6"/>
      <c r="AA59" s="6"/>
      <c r="AB59" s="6"/>
      <c r="AC59" s="6"/>
      <c r="AD59" s="6"/>
      <c r="AE59" s="2">
        <v>11</v>
      </c>
    </row>
    <row r="60" spans="1:31" s="2" customFormat="1" ht="11.45" customHeight="1">
      <c r="A60" s="1"/>
      <c r="C60" s="3"/>
      <c r="D60" s="60"/>
      <c r="E60" s="11" t="str">
        <f>FHD_NUM_P_24</f>
        <v>2.8.1</v>
      </c>
      <c r="F60" s="57" t="str">
        <f>FHD_P_24</f>
        <v>Расходы на текущий ремонт</v>
      </c>
      <c r="G60" s="13" t="s">
        <v>6</v>
      </c>
      <c r="H60" s="36"/>
      <c r="I60" s="36">
        <v>0</v>
      </c>
      <c r="J60" s="3" t="str">
        <f t="shared" si="0"/>
        <v/>
      </c>
      <c r="K60" s="3"/>
      <c r="L60" s="3"/>
      <c r="Q60" s="3"/>
      <c r="T60" s="5"/>
      <c r="Z60" s="6"/>
      <c r="AA60" s="6"/>
      <c r="AB60" s="6"/>
      <c r="AC60" s="6"/>
      <c r="AD60" s="6"/>
      <c r="AE60" s="2">
        <v>11</v>
      </c>
    </row>
    <row r="61" spans="1:31" s="2" customFormat="1" ht="11.45" customHeight="1">
      <c r="A61" s="1"/>
      <c r="C61" s="3"/>
      <c r="D61" s="60"/>
      <c r="E61" s="11" t="str">
        <f>FHD_NUM_P_25</f>
        <v>2.8.2</v>
      </c>
      <c r="F61" s="57" t="str">
        <f>FHD_P_25</f>
        <v>Расходы на капитальный ремонт</v>
      </c>
      <c r="G61" s="13" t="s">
        <v>6</v>
      </c>
      <c r="H61" s="36"/>
      <c r="I61" s="36">
        <v>0</v>
      </c>
      <c r="J61" s="3" t="str">
        <f t="shared" si="0"/>
        <v/>
      </c>
      <c r="K61" s="3"/>
      <c r="L61" s="3"/>
      <c r="Q61" s="3"/>
      <c r="T61" s="5"/>
      <c r="Z61" s="6"/>
      <c r="AA61" s="6"/>
      <c r="AB61" s="6"/>
      <c r="AC61" s="6"/>
      <c r="AD61" s="6"/>
      <c r="AE61" s="2">
        <v>11</v>
      </c>
    </row>
    <row r="62" spans="1:31" s="2" customFormat="1" ht="42.75" customHeight="1">
      <c r="A62" s="1"/>
      <c r="C62" s="3"/>
      <c r="D62" s="10"/>
      <c r="E62" s="11" t="str">
        <f>FHD_NUM_P_26</f>
        <v>2.9</v>
      </c>
      <c r="F62" s="38" t="str">
        <f>FHD_P_26</f>
        <v>Общехозяйственные расходы, в том числе:</v>
      </c>
      <c r="G62" s="13" t="s">
        <v>6</v>
      </c>
      <c r="H62" s="36"/>
      <c r="I62" s="36">
        <v>22111.1</v>
      </c>
      <c r="J62" s="3" t="str">
        <f t="shared" si="0"/>
        <v>p</v>
      </c>
      <c r="K62" s="3"/>
      <c r="L62" s="3"/>
      <c r="Q62" s="3"/>
      <c r="T62" s="5"/>
      <c r="Z62" s="6"/>
      <c r="AA62" s="6"/>
      <c r="AB62" s="6"/>
      <c r="AC62" s="6"/>
      <c r="AD62" s="6"/>
      <c r="AE62" s="2">
        <v>11</v>
      </c>
    </row>
    <row r="63" spans="1:31" s="2" customFormat="1" ht="11.45" customHeight="1">
      <c r="A63" s="1"/>
      <c r="C63" s="3"/>
      <c r="D63" s="10"/>
      <c r="E63" s="11" t="str">
        <f>FHD_NUM_P_27</f>
        <v>2.9.1</v>
      </c>
      <c r="F63" s="57" t="str">
        <f>FHD_P_27</f>
        <v>Расходы на текущий ремонт</v>
      </c>
      <c r="G63" s="13" t="s">
        <v>6</v>
      </c>
      <c r="H63" s="36"/>
      <c r="I63" s="36">
        <v>0</v>
      </c>
      <c r="J63" s="3" t="str">
        <f t="shared" si="0"/>
        <v/>
      </c>
      <c r="K63" s="3"/>
      <c r="L63" s="3"/>
      <c r="Q63" s="3"/>
      <c r="T63" s="5"/>
      <c r="Z63" s="6"/>
      <c r="AA63" s="6"/>
      <c r="AB63" s="6"/>
      <c r="AC63" s="6"/>
      <c r="AD63" s="6"/>
      <c r="AE63" s="2">
        <v>11</v>
      </c>
    </row>
    <row r="64" spans="1:31" s="2" customFormat="1" ht="11.45" customHeight="1">
      <c r="A64" s="1"/>
      <c r="C64" s="3"/>
      <c r="D64" s="10"/>
      <c r="E64" s="11" t="str">
        <f>FHD_NUM_P_28</f>
        <v>2.9.2</v>
      </c>
      <c r="F64" s="57" t="str">
        <f>FHD_P_28</f>
        <v>Расходы на капитальный ремонт</v>
      </c>
      <c r="G64" s="13" t="s">
        <v>6</v>
      </c>
      <c r="H64" s="36"/>
      <c r="I64" s="36">
        <v>0</v>
      </c>
      <c r="J64" s="3" t="str">
        <f t="shared" si="0"/>
        <v/>
      </c>
      <c r="K64" s="3"/>
      <c r="L64" s="3"/>
      <c r="Q64" s="3"/>
      <c r="T64" s="5"/>
      <c r="Z64" s="6"/>
      <c r="AA64" s="6"/>
      <c r="AB64" s="6"/>
      <c r="AC64" s="6"/>
      <c r="AD64" s="6"/>
      <c r="AE64" s="2">
        <v>11</v>
      </c>
    </row>
    <row r="65" spans="1:31" s="2" customFormat="1" ht="42.75" customHeight="1">
      <c r="A65" s="1"/>
      <c r="C65" s="3"/>
      <c r="D65" s="10"/>
      <c r="E65" s="11" t="str">
        <f>FHD_NUM_P_29</f>
        <v>2.10</v>
      </c>
      <c r="F65" s="38" t="str">
        <f>FHD_P_29</f>
        <v>Расходы на капитальный и текущий ремонт основных средств</v>
      </c>
      <c r="G65" s="13" t="s">
        <v>6</v>
      </c>
      <c r="H65" s="36"/>
      <c r="I65" s="36">
        <v>26280.799999999999</v>
      </c>
      <c r="J65" s="3" t="str">
        <f t="shared" si="0"/>
        <v>p</v>
      </c>
      <c r="K65" s="3"/>
      <c r="L65" s="3"/>
      <c r="Q65" s="3"/>
      <c r="T65" s="5"/>
      <c r="Z65" s="6"/>
      <c r="AA65" s="6"/>
      <c r="AB65" s="6"/>
      <c r="AC65" s="6"/>
      <c r="AD65" s="6"/>
      <c r="AE65" s="2">
        <v>11</v>
      </c>
    </row>
    <row r="66" spans="1:31" s="2" customFormat="1" ht="42.75" customHeight="1">
      <c r="A66" s="1"/>
      <c r="C66" s="3"/>
      <c r="D66" s="10"/>
      <c r="E66" s="11" t="str">
        <f>FHD_NUM_P_30</f>
        <v>2.10.1</v>
      </c>
      <c r="F66" s="57" t="str">
        <f>FHD_P_30</f>
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</c>
      <c r="G66" s="13" t="s">
        <v>31</v>
      </c>
      <c r="H66" s="68" t="s">
        <v>32</v>
      </c>
      <c r="I66" s="68" t="s">
        <v>32</v>
      </c>
      <c r="J66" s="3" t="str">
        <f t="shared" si="0"/>
        <v/>
      </c>
      <c r="K66" s="3">
        <f>IFERROR(MATCH("есть",B_FHD_FLAG_INDEX_1,0),0)</f>
        <v>0</v>
      </c>
      <c r="L66" s="3"/>
      <c r="Q66" s="3"/>
      <c r="T66" s="5"/>
      <c r="Z66" s="6"/>
      <c r="AA66" s="6"/>
      <c r="AB66" s="6"/>
      <c r="AC66" s="6"/>
      <c r="AD66" s="6"/>
      <c r="AE66" s="2">
        <v>11</v>
      </c>
    </row>
    <row r="67" spans="1:31" s="2" customFormat="1" ht="23.25" customHeight="1">
      <c r="A67" s="39" t="s">
        <v>33</v>
      </c>
      <c r="C67" s="3"/>
      <c r="D67" s="10"/>
      <c r="E67" s="11" t="str">
        <f>FHD_NUM_P_31</f>
        <v>2.11</v>
      </c>
      <c r="F67" s="38" t="str">
        <f>FHD_P_31</f>
        <v xml:space="preserve"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</v>
      </c>
      <c r="G67" s="13" t="s">
        <v>6</v>
      </c>
      <c r="H67" s="36"/>
      <c r="I67" s="36">
        <v>0</v>
      </c>
      <c r="J67" s="3" t="str">
        <f t="shared" si="0"/>
        <v>p</v>
      </c>
      <c r="K67" s="3"/>
      <c r="L67" s="3"/>
      <c r="Q67" s="3"/>
      <c r="T67" s="5"/>
      <c r="Z67" s="6"/>
      <c r="AA67" s="6"/>
      <c r="AB67" s="6"/>
      <c r="AC67" s="6"/>
      <c r="AD67" s="6"/>
      <c r="AE67" s="2">
        <v>22</v>
      </c>
    </row>
    <row r="68" spans="1:31" s="2" customFormat="1" ht="47.25" customHeight="1">
      <c r="A68" s="39"/>
      <c r="C68" s="3"/>
      <c r="D68" s="10"/>
      <c r="E68" s="11" t="str">
        <f>FHD_NUM_P_32</f>
        <v>2.11.1</v>
      </c>
      <c r="F68" s="57" t="str">
        <f>FHD_P_32</f>
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</c>
      <c r="G68" s="13" t="s">
        <v>31</v>
      </c>
      <c r="H68" s="68" t="s">
        <v>32</v>
      </c>
      <c r="I68" s="68" t="s">
        <v>32</v>
      </c>
      <c r="J68" s="3" t="str">
        <f t="shared" si="0"/>
        <v/>
      </c>
      <c r="K68" s="3">
        <f>IFERROR(MATCH("есть",B_FHD_FLAG_INDEX_2,0),0)</f>
        <v>0</v>
      </c>
      <c r="L68" s="3"/>
      <c r="Q68" s="3"/>
      <c r="T68" s="5"/>
      <c r="Z68" s="6"/>
      <c r="AA68" s="6"/>
      <c r="AB68" s="6"/>
      <c r="AC68" s="6"/>
      <c r="AD68" s="6"/>
      <c r="AE68" s="2">
        <v>45</v>
      </c>
    </row>
    <row r="69" spans="1:31" s="2" customFormat="1" ht="42.75" customHeight="1">
      <c r="A69" s="1"/>
      <c r="C69" s="3"/>
      <c r="D69" s="10"/>
      <c r="E69" s="11" t="str">
        <f>FHD_NUM_P_33</f>
        <v>2.12</v>
      </c>
      <c r="F69" s="38" t="str">
        <f>FHD_P_33</f>
        <v>Прочие расходы,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г. N 406 "О государственном регулировании тарифов в сфере водоснабжения и водоотведения" (далее - Основы ценообразования в сфере водоснабжения и водоотведения)</v>
      </c>
      <c r="G69" s="69" t="s">
        <v>6</v>
      </c>
      <c r="H69" s="70">
        <f>SUM(H70:H78)</f>
        <v>0</v>
      </c>
      <c r="I69" s="70">
        <f>SUM(I70:I78)</f>
        <v>52952.229999999996</v>
      </c>
      <c r="J69" s="3" t="str">
        <f t="shared" si="0"/>
        <v>p</v>
      </c>
      <c r="K69" s="3"/>
      <c r="L69" s="3"/>
      <c r="Q69" s="3"/>
      <c r="T69" s="5"/>
      <c r="Z69" s="6"/>
      <c r="AA69" s="6"/>
      <c r="AB69" s="6"/>
      <c r="AC69" s="6"/>
      <c r="AD69" s="6"/>
      <c r="AE69" s="2">
        <v>11</v>
      </c>
    </row>
    <row r="70" spans="1:31" s="3" customFormat="1" ht="1.1499999999999999" customHeight="1">
      <c r="A70" s="9"/>
      <c r="D70" s="9"/>
      <c r="E70" s="17" t="str">
        <f>E69&amp;".0"</f>
        <v>2.12.0</v>
      </c>
      <c r="F70" s="71"/>
      <c r="G70" s="17"/>
      <c r="H70" s="72"/>
      <c r="I70" s="72"/>
      <c r="J70" s="3" t="str">
        <f t="shared" si="0"/>
        <v/>
      </c>
      <c r="AE70" s="3">
        <v>1</v>
      </c>
    </row>
    <row r="71" spans="1:31" s="6" customFormat="1" ht="22.5" customHeight="1">
      <c r="A71" s="1"/>
      <c r="B71" s="2"/>
      <c r="C71" s="3"/>
      <c r="D71" s="73" t="s">
        <v>34</v>
      </c>
      <c r="E71" s="13" t="str">
        <f>E69&amp;".1"</f>
        <v>2.12.1</v>
      </c>
      <c r="F71" s="23" t="s">
        <v>35</v>
      </c>
      <c r="G71" s="13" t="s">
        <v>6</v>
      </c>
      <c r="H71" s="20"/>
      <c r="I71" s="20">
        <v>24200.25</v>
      </c>
      <c r="J71" s="14"/>
      <c r="K71" s="3"/>
      <c r="L71" s="3"/>
      <c r="M71" s="2"/>
      <c r="N71" s="2"/>
      <c r="O71" s="2"/>
      <c r="P71" s="2"/>
      <c r="Q71" s="3"/>
      <c r="R71" s="2"/>
      <c r="S71" s="2"/>
      <c r="T71" s="5"/>
      <c r="U71" s="2"/>
      <c r="V71" s="2"/>
      <c r="W71" s="2"/>
      <c r="X71" s="2"/>
      <c r="Y71" s="2"/>
      <c r="AE71" s="2">
        <v>0</v>
      </c>
    </row>
    <row r="72" spans="1:31" s="6" customFormat="1" ht="22.5" customHeight="1">
      <c r="A72" s="1"/>
      <c r="B72" s="2"/>
      <c r="C72" s="3"/>
      <c r="D72" s="73" t="s">
        <v>34</v>
      </c>
      <c r="E72" s="13" t="str">
        <f>E69&amp;".2"</f>
        <v>2.12.2</v>
      </c>
      <c r="F72" s="23" t="s">
        <v>36</v>
      </c>
      <c r="G72" s="13" t="s">
        <v>6</v>
      </c>
      <c r="H72" s="20"/>
      <c r="I72" s="20">
        <v>4152.88</v>
      </c>
      <c r="J72" s="14"/>
      <c r="K72" s="3"/>
      <c r="L72" s="3"/>
      <c r="M72" s="2"/>
      <c r="N72" s="2"/>
      <c r="O72" s="2"/>
      <c r="P72" s="2"/>
      <c r="Q72" s="3"/>
      <c r="R72" s="2"/>
      <c r="S72" s="2"/>
      <c r="T72" s="5"/>
      <c r="U72" s="2"/>
      <c r="V72" s="2"/>
      <c r="W72" s="2"/>
      <c r="X72" s="2"/>
      <c r="Y72" s="2"/>
      <c r="AE72" s="2">
        <v>0</v>
      </c>
    </row>
    <row r="73" spans="1:31" s="6" customFormat="1" ht="22.5" customHeight="1">
      <c r="A73" s="1"/>
      <c r="B73" s="2"/>
      <c r="C73" s="3"/>
      <c r="D73" s="73" t="s">
        <v>34</v>
      </c>
      <c r="E73" s="13" t="str">
        <f>E69&amp;".3"</f>
        <v>2.12.3</v>
      </c>
      <c r="F73" s="23" t="s">
        <v>37</v>
      </c>
      <c r="G73" s="13" t="s">
        <v>6</v>
      </c>
      <c r="H73" s="20"/>
      <c r="I73" s="20">
        <v>3403.88</v>
      </c>
      <c r="J73" s="14"/>
      <c r="K73" s="3"/>
      <c r="L73" s="3"/>
      <c r="M73" s="2"/>
      <c r="N73" s="2"/>
      <c r="O73" s="2"/>
      <c r="P73" s="2"/>
      <c r="Q73" s="3"/>
      <c r="R73" s="2"/>
      <c r="S73" s="2"/>
      <c r="T73" s="5"/>
      <c r="U73" s="2"/>
      <c r="V73" s="2"/>
      <c r="W73" s="2"/>
      <c r="X73" s="2"/>
      <c r="Y73" s="2"/>
      <c r="AE73" s="2">
        <v>0</v>
      </c>
    </row>
    <row r="74" spans="1:31" s="6" customFormat="1" ht="22.5" customHeight="1">
      <c r="A74" s="1"/>
      <c r="B74" s="2"/>
      <c r="C74" s="3"/>
      <c r="D74" s="73" t="s">
        <v>34</v>
      </c>
      <c r="E74" s="13" t="str">
        <f>E69&amp;".4"</f>
        <v>2.12.4</v>
      </c>
      <c r="F74" s="23" t="s">
        <v>38</v>
      </c>
      <c r="G74" s="13" t="s">
        <v>6</v>
      </c>
      <c r="H74" s="20"/>
      <c r="I74" s="20">
        <v>1581.34</v>
      </c>
      <c r="J74" s="14"/>
      <c r="K74" s="3"/>
      <c r="L74" s="3"/>
      <c r="M74" s="2"/>
      <c r="N74" s="2"/>
      <c r="O74" s="2"/>
      <c r="P74" s="2"/>
      <c r="Q74" s="3"/>
      <c r="R74" s="2"/>
      <c r="S74" s="2"/>
      <c r="T74" s="5"/>
      <c r="U74" s="2"/>
      <c r="V74" s="2"/>
      <c r="W74" s="2"/>
      <c r="X74" s="2"/>
      <c r="Y74" s="2"/>
      <c r="AE74" s="2">
        <v>0</v>
      </c>
    </row>
    <row r="75" spans="1:31" s="6" customFormat="1" ht="22.5" customHeight="1">
      <c r="A75" s="1"/>
      <c r="B75" s="2"/>
      <c r="C75" s="3"/>
      <c r="D75" s="73" t="s">
        <v>34</v>
      </c>
      <c r="E75" s="13" t="str">
        <f>E69&amp;".5"</f>
        <v>2.12.5</v>
      </c>
      <c r="F75" s="23" t="s">
        <v>39</v>
      </c>
      <c r="G75" s="13" t="s">
        <v>6</v>
      </c>
      <c r="H75" s="20"/>
      <c r="I75" s="20">
        <f>12865.88-827.59</f>
        <v>12038.289999999999</v>
      </c>
      <c r="J75" s="14"/>
      <c r="K75" s="3"/>
      <c r="L75" s="3"/>
      <c r="M75" s="2"/>
      <c r="N75" s="2"/>
      <c r="O75" s="2"/>
      <c r="P75" s="2"/>
      <c r="Q75" s="3"/>
      <c r="R75" s="2"/>
      <c r="S75" s="2"/>
      <c r="T75" s="5"/>
      <c r="U75" s="2"/>
      <c r="V75" s="2"/>
      <c r="W75" s="2"/>
      <c r="X75" s="2"/>
      <c r="Y75" s="2"/>
      <c r="AE75" s="2">
        <v>0</v>
      </c>
    </row>
    <row r="76" spans="1:31" s="6" customFormat="1" ht="22.5" customHeight="1">
      <c r="A76" s="1"/>
      <c r="B76" s="2"/>
      <c r="C76" s="3"/>
      <c r="D76" s="73" t="s">
        <v>34</v>
      </c>
      <c r="E76" s="13" t="str">
        <f>E69&amp;".6"</f>
        <v>2.12.6</v>
      </c>
      <c r="F76" s="23" t="s">
        <v>40</v>
      </c>
      <c r="G76" s="13" t="s">
        <v>6</v>
      </c>
      <c r="H76" s="20"/>
      <c r="I76" s="20">
        <v>3354.56</v>
      </c>
      <c r="J76" s="14"/>
      <c r="K76" s="3"/>
      <c r="L76" s="3"/>
      <c r="M76" s="2"/>
      <c r="N76" s="2"/>
      <c r="O76" s="2"/>
      <c r="P76" s="2"/>
      <c r="Q76" s="3"/>
      <c r="R76" s="2"/>
      <c r="S76" s="2"/>
      <c r="T76" s="5"/>
      <c r="U76" s="2"/>
      <c r="V76" s="2"/>
      <c r="W76" s="2"/>
      <c r="X76" s="2"/>
      <c r="Y76" s="2"/>
      <c r="AE76" s="2">
        <v>0</v>
      </c>
    </row>
    <row r="77" spans="1:31" s="6" customFormat="1" ht="22.5" customHeight="1">
      <c r="A77" s="1"/>
      <c r="B77" s="2"/>
      <c r="C77" s="3"/>
      <c r="D77" s="73" t="s">
        <v>34</v>
      </c>
      <c r="E77" s="13" t="str">
        <f>E69&amp;".7"</f>
        <v>2.12.7</v>
      </c>
      <c r="F77" s="23" t="s">
        <v>41</v>
      </c>
      <c r="G77" s="13" t="s">
        <v>6</v>
      </c>
      <c r="H77" s="20"/>
      <c r="I77" s="20">
        <v>4221.03</v>
      </c>
      <c r="J77" s="14"/>
      <c r="K77" s="3"/>
      <c r="L77" s="3"/>
      <c r="M77" s="2"/>
      <c r="N77" s="2"/>
      <c r="O77" s="2"/>
      <c r="P77" s="2"/>
      <c r="Q77" s="3"/>
      <c r="R77" s="2"/>
      <c r="S77" s="2"/>
      <c r="T77" s="5"/>
      <c r="U77" s="2"/>
      <c r="V77" s="2"/>
      <c r="W77" s="2"/>
      <c r="X77" s="2"/>
      <c r="Y77" s="2"/>
      <c r="AE77" s="2">
        <v>0</v>
      </c>
    </row>
    <row r="78" spans="1:31" s="2" customFormat="1" ht="14.65" customHeight="1">
      <c r="A78" s="1"/>
      <c r="C78" s="3"/>
      <c r="D78" s="52"/>
      <c r="E78" s="53"/>
      <c r="F78" s="54" t="s">
        <v>42</v>
      </c>
      <c r="G78" s="55"/>
      <c r="H78" s="56"/>
      <c r="I78" s="56"/>
      <c r="J78" s="3"/>
      <c r="K78" s="3"/>
      <c r="L78" s="3"/>
      <c r="Q78" s="3"/>
      <c r="T78" s="5"/>
      <c r="Z78" s="6"/>
      <c r="AA78" s="6"/>
      <c r="AB78" s="6"/>
      <c r="AC78" s="6"/>
      <c r="AD78" s="6"/>
      <c r="AE78" s="2">
        <v>14</v>
      </c>
    </row>
    <row r="79" spans="1:31" s="2" customFormat="1" ht="42.75" hidden="1" customHeight="1">
      <c r="A79" s="59" t="s">
        <v>43</v>
      </c>
      <c r="C79" s="3"/>
      <c r="D79" s="10"/>
      <c r="E79" s="11" t="str">
        <f>FHD_NUM_P_34</f>
        <v/>
      </c>
      <c r="F79" s="35" t="str">
        <f>FHD_P_34</f>
        <v/>
      </c>
      <c r="G79" s="13" t="s">
        <v>6</v>
      </c>
      <c r="H79" s="36"/>
      <c r="I79" s="36"/>
      <c r="J79" s="14"/>
      <c r="K79" s="3"/>
      <c r="L79" s="3"/>
      <c r="Q79" s="3"/>
      <c r="T79" s="5"/>
      <c r="Z79" s="6"/>
      <c r="AA79" s="6"/>
      <c r="AB79" s="6"/>
      <c r="AC79" s="6"/>
      <c r="AD79" s="6"/>
      <c r="AE79" s="2">
        <v>0</v>
      </c>
    </row>
    <row r="80" spans="1:31" s="2" customFormat="1" ht="39" customHeight="1">
      <c r="A80" s="1"/>
      <c r="C80" s="3"/>
      <c r="D80" s="60"/>
      <c r="E80" s="11" t="str">
        <f>FHD_NUM_P_35</f>
        <v>3</v>
      </c>
      <c r="F80" s="35" t="str">
        <f>FHD_P_35</f>
        <v>Чистая прибыль, полученная от регулируемого вида деятельности в сфере холодного водоснабжения, в том числе:</v>
      </c>
      <c r="G80" s="13" t="s">
        <v>6</v>
      </c>
      <c r="H80" s="36"/>
      <c r="I80" s="36">
        <v>44143.058530000002</v>
      </c>
      <c r="J80" s="14"/>
      <c r="K80" s="3"/>
      <c r="L80" s="3"/>
      <c r="Q80" s="3"/>
      <c r="T80" s="5"/>
      <c r="Z80" s="6"/>
      <c r="AA80" s="6"/>
      <c r="AB80" s="6"/>
      <c r="AC80" s="6"/>
      <c r="AD80" s="6"/>
      <c r="AE80" s="2">
        <v>19</v>
      </c>
    </row>
    <row r="81" spans="1:31" s="2" customFormat="1" ht="38.25" customHeight="1">
      <c r="A81" s="1"/>
      <c r="C81" s="3"/>
      <c r="D81" s="10"/>
      <c r="E81" s="11" t="str">
        <f>FHD_NUM_P_36</f>
        <v>3.1</v>
      </c>
      <c r="F81" s="38" t="str">
        <f>FHD_P_36</f>
        <v>Размер расходования чистой прибыли на финансирование мероприятий, предусмотренных инвестиционной программой регулируемой организации</v>
      </c>
      <c r="G81" s="13" t="s">
        <v>6</v>
      </c>
      <c r="H81" s="36"/>
      <c r="I81" s="36">
        <v>0</v>
      </c>
      <c r="J81" s="14"/>
      <c r="K81" s="3"/>
      <c r="L81" s="3"/>
      <c r="Q81" s="3"/>
      <c r="T81" s="5"/>
      <c r="Z81" s="6"/>
      <c r="AA81" s="6"/>
      <c r="AB81" s="6"/>
      <c r="AC81" s="6"/>
      <c r="AD81" s="6"/>
      <c r="AE81" s="2">
        <v>19</v>
      </c>
    </row>
    <row r="82" spans="1:31" s="2" customFormat="1" ht="39" customHeight="1">
      <c r="A82" s="1"/>
      <c r="C82" s="3"/>
      <c r="D82" s="10"/>
      <c r="E82" s="11" t="str">
        <f>FHD_NUM_P_37</f>
        <v>4</v>
      </c>
      <c r="F82" s="35" t="str">
        <f>FHD_P_37</f>
        <v>Изменение стоимости основных фондов, в том числе:</v>
      </c>
      <c r="G82" s="13" t="s">
        <v>6</v>
      </c>
      <c r="H82" s="36"/>
      <c r="I82" s="36">
        <f>I83+I86</f>
        <v>101089.86</v>
      </c>
      <c r="J82" s="14"/>
      <c r="K82" s="3"/>
      <c r="L82" s="3"/>
      <c r="Q82" s="3"/>
      <c r="T82" s="5"/>
      <c r="Z82" s="6"/>
      <c r="AA82" s="6"/>
      <c r="AB82" s="6"/>
      <c r="AC82" s="6"/>
      <c r="AD82" s="6"/>
      <c r="AE82" s="2">
        <v>19</v>
      </c>
    </row>
    <row r="83" spans="1:31" s="2" customFormat="1" ht="39" customHeight="1">
      <c r="A83" s="1"/>
      <c r="C83" s="3"/>
      <c r="D83" s="10"/>
      <c r="E83" s="11" t="str">
        <f>FHD_NUM_P_38</f>
        <v>4.1</v>
      </c>
      <c r="F83" s="38" t="str">
        <f>FHD_P_38</f>
        <v>Изменение стоимости основных фондов за счет их ввода в эксплуатацию (вывода из эксплуатации)</v>
      </c>
      <c r="G83" s="13" t="s">
        <v>6</v>
      </c>
      <c r="H83" s="36"/>
      <c r="I83" s="36">
        <f>I84+I85</f>
        <v>101089.86</v>
      </c>
      <c r="J83" s="14"/>
      <c r="K83" s="3"/>
      <c r="L83" s="3"/>
      <c r="Q83" s="3"/>
      <c r="T83" s="5"/>
      <c r="Z83" s="6"/>
      <c r="AA83" s="6"/>
      <c r="AB83" s="6"/>
      <c r="AC83" s="6"/>
      <c r="AD83" s="6"/>
      <c r="AE83" s="2">
        <v>19</v>
      </c>
    </row>
    <row r="84" spans="1:31" s="2" customFormat="1" ht="39" customHeight="1">
      <c r="A84" s="1"/>
      <c r="C84" s="3"/>
      <c r="D84" s="10"/>
      <c r="E84" s="11" t="str">
        <f>FHD_NUM_P_39</f>
        <v>4.1.1</v>
      </c>
      <c r="F84" s="57" t="str">
        <f>FHD_P_39</f>
        <v>Изменение стоимости основных фондов за счет их ввода в эксплуатацию</v>
      </c>
      <c r="G84" s="69" t="s">
        <v>6</v>
      </c>
      <c r="H84" s="36"/>
      <c r="I84" s="36">
        <v>34851.81</v>
      </c>
      <c r="J84" s="14"/>
      <c r="K84" s="3"/>
      <c r="L84" s="3"/>
      <c r="Q84" s="3"/>
      <c r="T84" s="5"/>
      <c r="Z84" s="6"/>
      <c r="AA84" s="6"/>
      <c r="AB84" s="6"/>
      <c r="AC84" s="6"/>
      <c r="AD84" s="6"/>
      <c r="AE84" s="2">
        <v>19</v>
      </c>
    </row>
    <row r="85" spans="1:31" s="2" customFormat="1" ht="39" customHeight="1">
      <c r="A85" s="1"/>
      <c r="C85" s="3"/>
      <c r="D85" s="10"/>
      <c r="E85" s="11" t="str">
        <f>FHD_NUM_P_40</f>
        <v>4.1.2</v>
      </c>
      <c r="F85" s="74" t="str">
        <f>FHD_P_40</f>
        <v>Изменение стоимости основных фондов за счет их вывода в эксплуатацию</v>
      </c>
      <c r="G85" s="13" t="s">
        <v>6</v>
      </c>
      <c r="H85" s="75"/>
      <c r="I85" s="36">
        <v>66238.05</v>
      </c>
      <c r="J85" s="14"/>
      <c r="K85" s="3"/>
      <c r="L85" s="3"/>
      <c r="Q85" s="3"/>
      <c r="T85" s="5"/>
      <c r="Z85" s="6"/>
      <c r="AA85" s="6"/>
      <c r="AB85" s="6"/>
      <c r="AC85" s="6"/>
      <c r="AD85" s="6"/>
      <c r="AE85" s="2">
        <v>19</v>
      </c>
    </row>
    <row r="86" spans="1:31" s="2" customFormat="1" ht="19.899999999999999" customHeight="1">
      <c r="A86" s="1"/>
      <c r="C86" s="3"/>
      <c r="D86" s="10"/>
      <c r="E86" s="11" t="str">
        <f>FHD_NUM_P_41</f>
        <v>4.2</v>
      </c>
      <c r="F86" s="76" t="str">
        <f>FHD_P_41</f>
        <v>Изменение стоимости основных фондов за счет их переоценки</v>
      </c>
      <c r="G86" s="13" t="s">
        <v>6</v>
      </c>
      <c r="H86" s="75"/>
      <c r="I86" s="36">
        <v>0</v>
      </c>
      <c r="J86" s="14"/>
      <c r="K86" s="3"/>
      <c r="L86" s="3"/>
      <c r="Q86" s="3"/>
      <c r="T86" s="5"/>
      <c r="Z86" s="6"/>
      <c r="AA86" s="6"/>
      <c r="AB86" s="6"/>
      <c r="AC86" s="6"/>
      <c r="AD86" s="6"/>
      <c r="AE86" s="2">
        <v>19</v>
      </c>
    </row>
    <row r="87" spans="1:31" s="2" customFormat="1" ht="39" customHeight="1">
      <c r="A87" s="59" t="s">
        <v>44</v>
      </c>
      <c r="C87" s="3" t="s">
        <v>15</v>
      </c>
      <c r="D87" s="10"/>
      <c r="E87" s="11" t="str">
        <f>FHD_NUM_P_42</f>
        <v>5</v>
      </c>
      <c r="F87" s="77" t="str">
        <f>FHD_P_42</f>
        <v>Валовая прибыль (убытки) от продажи товаров и услуг по регулируемым видам деятельности в сфере холодного водоснабжения</v>
      </c>
      <c r="G87" s="13" t="s">
        <v>6</v>
      </c>
      <c r="H87" s="75"/>
      <c r="I87" s="36">
        <v>34489.797879999998</v>
      </c>
      <c r="J87" s="14"/>
      <c r="K87" s="3"/>
      <c r="L87" s="3"/>
      <c r="Q87" s="3"/>
      <c r="T87" s="5"/>
      <c r="Z87" s="6"/>
      <c r="AA87" s="6"/>
      <c r="AB87" s="6"/>
      <c r="AC87" s="6"/>
      <c r="AD87" s="6"/>
      <c r="AE87" s="2">
        <v>19</v>
      </c>
    </row>
    <row r="88" spans="1:31" s="2" customFormat="1" ht="39" customHeight="1">
      <c r="A88" s="1"/>
      <c r="C88" s="3" t="s">
        <v>45</v>
      </c>
      <c r="D88" s="10"/>
      <c r="E88" s="11" t="str">
        <f>FHD_NUM_P_43</f>
        <v>6</v>
      </c>
      <c r="F88" s="35" t="str">
        <f>FHD_P_43</f>
        <v>Годовая бухгалтерская (финансовая) отчетность, включая бухгалтерский баланс и приложения к нему</v>
      </c>
      <c r="G88" s="78" t="s">
        <v>31</v>
      </c>
      <c r="H88" s="79"/>
      <c r="I88" s="80" t="s">
        <v>46</v>
      </c>
      <c r="J88" s="14"/>
      <c r="K88" s="3"/>
      <c r="L88" s="3"/>
      <c r="Q88" s="3"/>
      <c r="T88" s="5"/>
      <c r="Z88" s="6"/>
      <c r="AA88" s="6"/>
      <c r="AB88" s="6"/>
      <c r="AC88" s="6"/>
      <c r="AD88" s="6"/>
      <c r="AE88" s="2">
        <v>19</v>
      </c>
    </row>
    <row r="89" spans="1:31" s="2" customFormat="1" ht="39" customHeight="1">
      <c r="A89" s="39" t="s">
        <v>47</v>
      </c>
      <c r="C89" s="3"/>
      <c r="D89" s="10"/>
      <c r="E89" s="11" t="str">
        <f>FHD_NUM_P_44</f>
        <v>7</v>
      </c>
      <c r="F89" s="35" t="str">
        <f>FHD_P_44</f>
        <v>Объём поднятой воды</v>
      </c>
      <c r="G89" s="13" t="s">
        <v>48</v>
      </c>
      <c r="H89" s="81"/>
      <c r="I89" s="61">
        <v>23985.19</v>
      </c>
      <c r="J89" s="14"/>
      <c r="K89" s="3"/>
      <c r="L89" s="3"/>
      <c r="Q89" s="3"/>
      <c r="T89" s="5"/>
      <c r="Z89" s="6"/>
      <c r="AA89" s="6"/>
      <c r="AB89" s="6"/>
      <c r="AC89" s="6"/>
      <c r="AD89" s="6"/>
      <c r="AE89" s="2">
        <v>0</v>
      </c>
    </row>
    <row r="90" spans="1:31" s="2" customFormat="1" ht="39" customHeight="1">
      <c r="A90" s="39"/>
      <c r="C90" s="3"/>
      <c r="D90" s="10"/>
      <c r="E90" s="11" t="str">
        <f>FHD_NUM_P_45</f>
        <v>8</v>
      </c>
      <c r="F90" s="35" t="str">
        <f>FHD_P_45</f>
        <v>Объём покупной воды</v>
      </c>
      <c r="G90" s="13" t="s">
        <v>48</v>
      </c>
      <c r="H90" s="81"/>
      <c r="I90" s="61">
        <v>4.8099999999999996</v>
      </c>
      <c r="J90" s="14"/>
      <c r="K90" s="3"/>
      <c r="L90" s="3"/>
      <c r="Q90" s="3"/>
      <c r="T90" s="5"/>
      <c r="Z90" s="6"/>
      <c r="AA90" s="6"/>
      <c r="AB90" s="6"/>
      <c r="AC90" s="6"/>
      <c r="AD90" s="6"/>
      <c r="AE90" s="2">
        <v>0</v>
      </c>
    </row>
    <row r="91" spans="1:31" s="2" customFormat="1" ht="42.75" customHeight="1">
      <c r="A91" s="39"/>
      <c r="C91" s="3"/>
      <c r="D91" s="60"/>
      <c r="E91" s="11" t="str">
        <f>FHD_NUM_P_46</f>
        <v>9</v>
      </c>
      <c r="F91" s="35" t="str">
        <f>FHD_P_46</f>
        <v>Объём воды, пропущенной через очистные сооружения</v>
      </c>
      <c r="G91" s="13" t="s">
        <v>48</v>
      </c>
      <c r="H91" s="81"/>
      <c r="I91" s="61">
        <v>0</v>
      </c>
      <c r="J91" s="14"/>
      <c r="K91" s="3"/>
      <c r="L91" s="3"/>
      <c r="Q91" s="3"/>
      <c r="T91" s="5"/>
      <c r="Z91" s="6"/>
      <c r="AA91" s="6"/>
      <c r="AB91" s="6"/>
      <c r="AC91" s="6"/>
      <c r="AD91" s="6"/>
      <c r="AE91" s="2">
        <v>0</v>
      </c>
    </row>
    <row r="92" spans="1:31" s="2" customFormat="1" ht="42.75" customHeight="1">
      <c r="A92" s="39"/>
      <c r="C92" s="3"/>
      <c r="D92" s="10"/>
      <c r="E92" s="11" t="str">
        <f>FHD_NUM_P_47</f>
        <v>10</v>
      </c>
      <c r="F92" s="35" t="str">
        <f>FHD_P_47</f>
        <v>Объём отпущенной потребителям воды, в том числе:</v>
      </c>
      <c r="G92" s="13" t="s">
        <v>48</v>
      </c>
      <c r="H92" s="81"/>
      <c r="I92" s="61">
        <v>14392.59</v>
      </c>
      <c r="J92" s="14"/>
      <c r="K92" s="3"/>
      <c r="L92" s="3"/>
      <c r="Q92" s="3"/>
      <c r="T92" s="5"/>
      <c r="Z92" s="6"/>
      <c r="AA92" s="6"/>
      <c r="AB92" s="6"/>
      <c r="AC92" s="6"/>
      <c r="AD92" s="6"/>
      <c r="AE92" s="2">
        <v>0</v>
      </c>
    </row>
    <row r="93" spans="1:31" s="4" customFormat="1" ht="42.75" customHeight="1">
      <c r="A93" s="39"/>
      <c r="B93" s="2"/>
      <c r="C93" s="3"/>
      <c r="D93" s="10"/>
      <c r="E93" s="11" t="str">
        <f>FHD_NUM_P_48</f>
        <v>10.1</v>
      </c>
      <c r="F93" s="35" t="str">
        <f>FHD_P_48</f>
        <v>Объём отпущенной потребителям воды, определенный по приборам учета</v>
      </c>
      <c r="G93" s="13" t="s">
        <v>48</v>
      </c>
      <c r="H93" s="81"/>
      <c r="I93" s="61">
        <v>11548.6633</v>
      </c>
      <c r="J93" s="14"/>
      <c r="K93" s="3"/>
      <c r="L93" s="3"/>
      <c r="M93" s="2"/>
      <c r="N93" s="2"/>
      <c r="O93" s="2"/>
      <c r="P93" s="2"/>
      <c r="Q93" s="3"/>
      <c r="R93" s="2"/>
      <c r="S93" s="2"/>
      <c r="T93" s="5"/>
      <c r="U93" s="2"/>
      <c r="V93" s="2"/>
      <c r="W93" s="2"/>
      <c r="X93" s="2"/>
      <c r="Y93" s="2"/>
      <c r="Z93" s="6"/>
      <c r="AA93" s="6"/>
      <c r="AB93" s="6"/>
      <c r="AC93" s="6"/>
      <c r="AD93" s="6"/>
      <c r="AE93" s="4">
        <v>0</v>
      </c>
    </row>
    <row r="94" spans="1:31" s="4" customFormat="1" ht="42.75" customHeight="1">
      <c r="A94" s="39"/>
      <c r="B94" s="2"/>
      <c r="C94" s="3"/>
      <c r="D94" s="10"/>
      <c r="E94" s="11" t="str">
        <f>FHD_NUM_P_49</f>
        <v>10.2</v>
      </c>
      <c r="F94" s="35" t="str">
        <f>FHD_P_49</f>
        <v>Объём отпущенной потребителям воды, определенный расчетным способом</v>
      </c>
      <c r="G94" s="13" t="s">
        <v>48</v>
      </c>
      <c r="H94" s="82">
        <f>SUM(H95:H96)</f>
        <v>0</v>
      </c>
      <c r="I94" s="83">
        <f>SUM(I95:I96)</f>
        <v>2843.9227000000001</v>
      </c>
      <c r="J94" s="14"/>
      <c r="K94" s="3"/>
      <c r="L94" s="3"/>
      <c r="M94" s="2"/>
      <c r="N94" s="2"/>
      <c r="O94" s="2"/>
      <c r="P94" s="2"/>
      <c r="Q94" s="3"/>
      <c r="R94" s="2"/>
      <c r="S94" s="2"/>
      <c r="T94" s="5"/>
      <c r="U94" s="2"/>
      <c r="V94" s="2"/>
      <c r="W94" s="2"/>
      <c r="X94" s="2"/>
      <c r="Y94" s="2"/>
      <c r="Z94" s="6"/>
      <c r="AA94" s="6"/>
      <c r="AB94" s="6"/>
      <c r="AC94" s="6"/>
      <c r="AD94" s="6"/>
      <c r="AE94" s="4">
        <v>0</v>
      </c>
    </row>
    <row r="95" spans="1:31" s="4" customFormat="1" ht="42.75" customHeight="1">
      <c r="A95" s="39"/>
      <c r="B95" s="2"/>
      <c r="C95" s="3"/>
      <c r="D95" s="10"/>
      <c r="E95" s="11" t="str">
        <f>FHD_NUM_P_50</f>
        <v>10.2.1</v>
      </c>
      <c r="F95" s="35" t="str">
        <f>FHD_P_50</f>
        <v>Объём отпущенной потребителям воды, определенный по нормативам потребления коммунальных услуг</v>
      </c>
      <c r="G95" s="13" t="s">
        <v>48</v>
      </c>
      <c r="H95" s="81"/>
      <c r="I95" s="61">
        <v>2843.9227000000001</v>
      </c>
      <c r="J95" s="14"/>
      <c r="K95" s="3"/>
      <c r="L95" s="3"/>
      <c r="M95" s="2"/>
      <c r="N95" s="2"/>
      <c r="O95" s="2"/>
      <c r="P95" s="2"/>
      <c r="Q95" s="3"/>
      <c r="R95" s="2"/>
      <c r="S95" s="2"/>
      <c r="T95" s="5"/>
      <c r="U95" s="2"/>
      <c r="V95" s="2"/>
      <c r="W95" s="2"/>
      <c r="X95" s="2"/>
      <c r="Y95" s="2"/>
      <c r="Z95" s="6"/>
      <c r="AA95" s="6"/>
      <c r="AB95" s="6"/>
      <c r="AC95" s="6"/>
      <c r="AD95" s="6"/>
      <c r="AE95" s="4">
        <v>0</v>
      </c>
    </row>
    <row r="96" spans="1:31" s="4" customFormat="1" ht="42.75" customHeight="1">
      <c r="A96" s="39"/>
      <c r="B96" s="2"/>
      <c r="C96" s="3"/>
      <c r="D96" s="10"/>
      <c r="E96" s="11" t="str">
        <f>FHD_NUM_P_51</f>
        <v>10.2.2</v>
      </c>
      <c r="F96" s="35" t="str">
        <f>FHD_P_51</f>
        <v xml:space="preserve">Объём отпущенной потребителям воды, определенный по нормативам потребления коммунальных ресурсов </v>
      </c>
      <c r="G96" s="13" t="s">
        <v>48</v>
      </c>
      <c r="H96" s="81"/>
      <c r="I96" s="61">
        <v>0</v>
      </c>
      <c r="J96" s="14"/>
      <c r="K96" s="3"/>
      <c r="L96" s="3"/>
      <c r="M96" s="2"/>
      <c r="N96" s="2"/>
      <c r="O96" s="2"/>
      <c r="P96" s="2"/>
      <c r="Q96" s="3"/>
      <c r="R96" s="2"/>
      <c r="S96" s="2"/>
      <c r="T96" s="5"/>
      <c r="U96" s="2"/>
      <c r="V96" s="2"/>
      <c r="W96" s="2"/>
      <c r="X96" s="2"/>
      <c r="Y96" s="2"/>
      <c r="Z96" s="6"/>
      <c r="AA96" s="6"/>
      <c r="AB96" s="6"/>
      <c r="AC96" s="6"/>
      <c r="AD96" s="6"/>
      <c r="AE96" s="4">
        <v>0</v>
      </c>
    </row>
    <row r="97" spans="1:31" s="4" customFormat="1" ht="42.75" customHeight="1">
      <c r="A97" s="39"/>
      <c r="B97" s="2"/>
      <c r="C97" s="3"/>
      <c r="D97" s="10"/>
      <c r="E97" s="11" t="str">
        <f>FHD_NUM_P_52</f>
        <v>11</v>
      </c>
      <c r="F97" s="35" t="str">
        <f>FHD_P_52</f>
        <v>Потери воды в сетях</v>
      </c>
      <c r="G97" s="13" t="s">
        <v>10</v>
      </c>
      <c r="H97" s="75"/>
      <c r="I97" s="36">
        <v>28.35</v>
      </c>
      <c r="J97" s="14"/>
      <c r="K97" s="3"/>
      <c r="L97" s="3"/>
      <c r="M97" s="2"/>
      <c r="N97" s="2"/>
      <c r="O97" s="2"/>
      <c r="P97" s="2"/>
      <c r="Q97" s="3"/>
      <c r="R97" s="2"/>
      <c r="S97" s="2"/>
      <c r="T97" s="5"/>
      <c r="U97" s="2"/>
      <c r="V97" s="2"/>
      <c r="W97" s="2"/>
      <c r="X97" s="2"/>
      <c r="Y97" s="2"/>
      <c r="Z97" s="6"/>
      <c r="AA97" s="6"/>
      <c r="AB97" s="6"/>
      <c r="AC97" s="6"/>
      <c r="AD97" s="6"/>
      <c r="AE97" s="4">
        <v>0</v>
      </c>
    </row>
    <row r="98" spans="1:31" s="2" customFormat="1" ht="42.75" hidden="1" customHeight="1">
      <c r="A98" s="39" t="s">
        <v>49</v>
      </c>
      <c r="C98" s="3"/>
      <c r="D98" s="10"/>
      <c r="E98" s="11" t="str">
        <f>FHD_NUM_P_53</f>
        <v/>
      </c>
      <c r="F98" s="35" t="str">
        <f>FHD_P_53</f>
        <v/>
      </c>
      <c r="G98" s="13" t="s">
        <v>48</v>
      </c>
      <c r="H98" s="81"/>
      <c r="I98" s="61"/>
      <c r="J98" s="14"/>
      <c r="K98" s="3"/>
      <c r="L98" s="3"/>
      <c r="Q98" s="3"/>
      <c r="T98" s="5"/>
      <c r="Z98" s="6"/>
      <c r="AA98" s="6"/>
      <c r="AB98" s="6"/>
      <c r="AC98" s="6"/>
      <c r="AD98" s="6"/>
      <c r="AE98" s="2">
        <v>0</v>
      </c>
    </row>
    <row r="99" spans="1:31" s="2" customFormat="1" ht="42.75" hidden="1" customHeight="1">
      <c r="A99" s="39"/>
      <c r="C99" s="3"/>
      <c r="D99" s="10"/>
      <c r="E99" s="11" t="str">
        <f>FHD_NUM_P_54</f>
        <v/>
      </c>
      <c r="F99" s="35" t="str">
        <f>FHD_P_54</f>
        <v/>
      </c>
      <c r="G99" s="13" t="s">
        <v>48</v>
      </c>
      <c r="H99" s="81"/>
      <c r="I99" s="61"/>
      <c r="J99" s="14"/>
      <c r="K99" s="3"/>
      <c r="L99" s="3"/>
      <c r="Q99" s="3"/>
      <c r="T99" s="5"/>
      <c r="Z99" s="6"/>
      <c r="AA99" s="6"/>
      <c r="AB99" s="6"/>
      <c r="AC99" s="6"/>
      <c r="AD99" s="6"/>
      <c r="AE99" s="2">
        <v>0</v>
      </c>
    </row>
    <row r="100" spans="1:31" s="2" customFormat="1" ht="42.75" hidden="1" customHeight="1">
      <c r="A100" s="39"/>
      <c r="C100" s="3"/>
      <c r="D100" s="60"/>
      <c r="E100" s="11" t="str">
        <f>FHD_NUM_P_55</f>
        <v/>
      </c>
      <c r="F100" s="35" t="str">
        <f>FHD_P_55</f>
        <v/>
      </c>
      <c r="G100" s="84"/>
      <c r="H100" s="81"/>
      <c r="I100" s="61"/>
      <c r="J100" s="14"/>
      <c r="K100" s="3"/>
      <c r="L100" s="3"/>
      <c r="Q100" s="3"/>
      <c r="T100" s="5"/>
      <c r="Z100" s="6"/>
      <c r="AA100" s="6"/>
      <c r="AB100" s="6"/>
      <c r="AC100" s="6"/>
      <c r="AD100" s="6"/>
      <c r="AE100" s="2">
        <v>0</v>
      </c>
    </row>
    <row r="101" spans="1:31" s="2" customFormat="1" ht="42.75" hidden="1" customHeight="1">
      <c r="A101" s="39"/>
      <c r="C101" s="3"/>
      <c r="D101" s="10"/>
      <c r="E101" s="11" t="str">
        <f>FHD_NUM_P_56</f>
        <v/>
      </c>
      <c r="F101" s="35" t="str">
        <f>FHD_P_56</f>
        <v/>
      </c>
      <c r="G101" s="13" t="s">
        <v>50</v>
      </c>
      <c r="H101" s="81"/>
      <c r="I101" s="61"/>
      <c r="J101" s="14"/>
      <c r="K101" s="3"/>
      <c r="L101" s="3"/>
      <c r="Q101" s="3"/>
      <c r="T101" s="5"/>
      <c r="Z101" s="6"/>
      <c r="AA101" s="6"/>
      <c r="AB101" s="6"/>
      <c r="AC101" s="6"/>
      <c r="AD101" s="6"/>
      <c r="AE101" s="2">
        <v>0</v>
      </c>
    </row>
    <row r="102" spans="1:31" s="4" customFormat="1" ht="42.75" hidden="1" customHeight="1">
      <c r="A102" s="39"/>
      <c r="B102" s="2"/>
      <c r="C102" s="3"/>
      <c r="D102" s="10"/>
      <c r="E102" s="11" t="str">
        <f>FHD_NUM_P_57</f>
        <v/>
      </c>
      <c r="F102" s="35" t="str">
        <f>FHD_P_57</f>
        <v/>
      </c>
      <c r="G102" s="13" t="s">
        <v>10</v>
      </c>
      <c r="H102" s="75"/>
      <c r="I102" s="36"/>
      <c r="J102" s="14"/>
      <c r="K102" s="3"/>
      <c r="L102" s="3"/>
      <c r="M102" s="2"/>
      <c r="N102" s="2"/>
      <c r="O102" s="2"/>
      <c r="P102" s="2"/>
      <c r="Q102" s="3"/>
      <c r="R102" s="2"/>
      <c r="S102" s="2"/>
      <c r="T102" s="5"/>
      <c r="U102" s="2"/>
      <c r="V102" s="2"/>
      <c r="W102" s="2"/>
      <c r="X102" s="2"/>
      <c r="Y102" s="2"/>
      <c r="Z102" s="6"/>
      <c r="AA102" s="6"/>
      <c r="AB102" s="6"/>
      <c r="AC102" s="6"/>
      <c r="AD102" s="6"/>
      <c r="AE102" s="4">
        <v>0</v>
      </c>
    </row>
    <row r="103" spans="1:31" ht="42.75" hidden="1" customHeight="1">
      <c r="A103" s="39" t="s">
        <v>51</v>
      </c>
      <c r="D103" s="10"/>
      <c r="E103" s="11" t="str">
        <f>FHD_NUM_P_58</f>
        <v/>
      </c>
      <c r="F103" s="35" t="str">
        <f>FHD_P_58</f>
        <v/>
      </c>
      <c r="G103" s="13" t="s">
        <v>48</v>
      </c>
      <c r="H103" s="81"/>
      <c r="I103" s="61"/>
      <c r="J103" s="14"/>
      <c r="AE103" s="4">
        <v>0</v>
      </c>
    </row>
    <row r="104" spans="1:31" ht="42.75" hidden="1" customHeight="1">
      <c r="A104" s="39"/>
      <c r="D104" s="10"/>
      <c r="E104" s="11" t="str">
        <f>FHD_NUM_P_59</f>
        <v/>
      </c>
      <c r="F104" s="35" t="str">
        <f>FHD_P_59</f>
        <v/>
      </c>
      <c r="G104" s="13" t="s">
        <v>48</v>
      </c>
      <c r="H104" s="81"/>
      <c r="I104" s="61"/>
      <c r="J104" s="14"/>
      <c r="AE104" s="4">
        <v>0</v>
      </c>
    </row>
    <row r="105" spans="1:31" ht="42.75" hidden="1" customHeight="1">
      <c r="A105" s="39"/>
      <c r="D105" s="10"/>
      <c r="E105" s="11" t="str">
        <f>FHD_NUM_P_60</f>
        <v/>
      </c>
      <c r="F105" s="35" t="str">
        <f>FHD_P_60</f>
        <v/>
      </c>
      <c r="G105" s="13" t="s">
        <v>48</v>
      </c>
      <c r="H105" s="81"/>
      <c r="I105" s="61"/>
      <c r="J105" s="14"/>
      <c r="AE105" s="4">
        <v>0</v>
      </c>
    </row>
    <row r="106" spans="1:31" s="2" customFormat="1" ht="42.75" hidden="1" customHeight="1">
      <c r="A106" s="39" t="s">
        <v>52</v>
      </c>
      <c r="C106" s="3"/>
      <c r="D106" s="10"/>
      <c r="E106" s="11" t="str">
        <f>FHD_NUM_P_61</f>
        <v/>
      </c>
      <c r="F106" s="35" t="str">
        <f>FHD_P_61</f>
        <v/>
      </c>
      <c r="G106" s="13" t="s">
        <v>9</v>
      </c>
      <c r="H106" s="85"/>
      <c r="I106" s="86"/>
      <c r="J106" s="14"/>
      <c r="K106" s="3"/>
      <c r="L106" s="3"/>
      <c r="Q106" s="3"/>
      <c r="T106" s="5"/>
      <c r="Z106" s="6"/>
      <c r="AA106" s="6"/>
      <c r="AB106" s="6"/>
      <c r="AC106" s="6"/>
      <c r="AD106" s="6"/>
      <c r="AE106" s="2">
        <v>0</v>
      </c>
    </row>
    <row r="107" spans="1:31" s="3" customFormat="1" ht="42.75" hidden="1" customHeight="1">
      <c r="A107" s="39"/>
      <c r="D107" s="9"/>
      <c r="E107" s="17" t="str">
        <f>E106&amp;".0"</f>
        <v>.0</v>
      </c>
      <c r="F107" s="87"/>
      <c r="G107" s="88"/>
      <c r="H107" s="72"/>
      <c r="I107" s="72"/>
      <c r="AE107" s="3">
        <v>0</v>
      </c>
    </row>
    <row r="108" spans="1:31" ht="42.75" hidden="1" customHeight="1">
      <c r="A108" s="39"/>
      <c r="D108" s="52"/>
      <c r="E108" s="89"/>
      <c r="F108" s="90" t="s">
        <v>53</v>
      </c>
      <c r="G108" s="55"/>
      <c r="H108" s="56"/>
      <c r="I108" s="56"/>
      <c r="J108" s="14"/>
      <c r="AE108" s="4">
        <v>0</v>
      </c>
    </row>
    <row r="109" spans="1:31" s="2" customFormat="1" ht="42.75" hidden="1" customHeight="1">
      <c r="A109" s="39"/>
      <c r="C109" s="3"/>
      <c r="D109" s="10"/>
      <c r="E109" s="11" t="str">
        <f>FHD_NUM_P_62</f>
        <v/>
      </c>
      <c r="F109" s="35" t="str">
        <f>FHD_P_62</f>
        <v/>
      </c>
      <c r="G109" s="24" t="s">
        <v>9</v>
      </c>
      <c r="H109" s="36"/>
      <c r="I109" s="36"/>
      <c r="J109" s="14"/>
      <c r="K109" s="3"/>
      <c r="L109" s="3"/>
      <c r="Q109" s="3"/>
      <c r="T109" s="5"/>
      <c r="Z109" s="6"/>
      <c r="AA109" s="6"/>
      <c r="AB109" s="6"/>
      <c r="AC109" s="6"/>
      <c r="AD109" s="6"/>
      <c r="AE109" s="2">
        <v>0</v>
      </c>
    </row>
    <row r="110" spans="1:31" s="2" customFormat="1" ht="42.75" hidden="1" customHeight="1">
      <c r="A110" s="39"/>
      <c r="C110" s="3"/>
      <c r="D110" s="10"/>
      <c r="E110" s="11" t="str">
        <f>FHD_NUM_P_63</f>
        <v/>
      </c>
      <c r="F110" s="35" t="str">
        <f>FHD_P_63</f>
        <v/>
      </c>
      <c r="G110" s="24" t="s">
        <v>50</v>
      </c>
      <c r="H110" s="61"/>
      <c r="I110" s="61"/>
      <c r="J110" s="14"/>
      <c r="K110" s="3"/>
      <c r="L110" s="3"/>
      <c r="Q110" s="3"/>
      <c r="T110" s="5"/>
      <c r="Z110" s="6"/>
      <c r="AA110" s="6"/>
      <c r="AB110" s="6"/>
      <c r="AC110" s="6"/>
      <c r="AD110" s="6"/>
      <c r="AE110" s="2">
        <v>0</v>
      </c>
    </row>
    <row r="111" spans="1:31" s="2" customFormat="1" ht="42.75" hidden="1" customHeight="1">
      <c r="A111" s="39"/>
      <c r="C111" s="3" t="s">
        <v>15</v>
      </c>
      <c r="D111" s="10"/>
      <c r="E111" s="11" t="str">
        <f>FHD_NUM_P_64</f>
        <v/>
      </c>
      <c r="F111" s="35" t="str">
        <f>FHD_P_64</f>
        <v/>
      </c>
      <c r="G111" s="24" t="s">
        <v>50</v>
      </c>
      <c r="H111" s="25"/>
      <c r="I111" s="25"/>
      <c r="J111" s="14"/>
      <c r="K111" s="3"/>
      <c r="L111" s="3"/>
      <c r="Q111" s="3"/>
      <c r="T111" s="5"/>
      <c r="Z111" s="6"/>
      <c r="AA111" s="6"/>
      <c r="AB111" s="6"/>
      <c r="AC111" s="6"/>
      <c r="AD111" s="6"/>
      <c r="AE111" s="2">
        <v>0</v>
      </c>
    </row>
    <row r="112" spans="1:31" s="2" customFormat="1" ht="42.75" hidden="1" customHeight="1">
      <c r="A112" s="39"/>
      <c r="C112" s="3"/>
      <c r="D112" s="10"/>
      <c r="E112" s="11" t="str">
        <f>FHD_NUM_P_65</f>
        <v/>
      </c>
      <c r="F112" s="35" t="str">
        <f>FHD_P_65</f>
        <v/>
      </c>
      <c r="G112" s="24" t="s">
        <v>50</v>
      </c>
      <c r="H112" s="61"/>
      <c r="I112" s="61"/>
      <c r="J112" s="14"/>
      <c r="K112" s="3"/>
      <c r="L112" s="3"/>
      <c r="Q112" s="3"/>
      <c r="T112" s="5"/>
      <c r="Z112" s="6"/>
      <c r="AA112" s="6"/>
      <c r="AB112" s="6"/>
      <c r="AC112" s="6"/>
      <c r="AD112" s="6"/>
      <c r="AE112" s="2">
        <v>0</v>
      </c>
    </row>
    <row r="113" spans="1:31" s="2" customFormat="1" ht="42.75" hidden="1" customHeight="1">
      <c r="A113" s="39"/>
      <c r="C113" s="3"/>
      <c r="D113" s="10"/>
      <c r="E113" s="11" t="str">
        <f>FHD_NUM_P_66</f>
        <v/>
      </c>
      <c r="F113" s="38" t="str">
        <f>FHD_P_66</f>
        <v/>
      </c>
      <c r="G113" s="24" t="s">
        <v>50</v>
      </c>
      <c r="H113" s="61"/>
      <c r="I113" s="61"/>
      <c r="J113" s="14"/>
      <c r="K113" s="3"/>
      <c r="L113" s="3"/>
      <c r="Q113" s="3"/>
      <c r="T113" s="5"/>
      <c r="Z113" s="6"/>
      <c r="AA113" s="6"/>
      <c r="AB113" s="6"/>
      <c r="AC113" s="6"/>
      <c r="AD113" s="6"/>
      <c r="AE113" s="2">
        <v>0</v>
      </c>
    </row>
    <row r="114" spans="1:31" s="2" customFormat="1" ht="42.75" hidden="1" customHeight="1">
      <c r="A114" s="39"/>
      <c r="C114" s="3"/>
      <c r="D114" s="10"/>
      <c r="E114" s="11" t="str">
        <f>FHD_NUM_P_67</f>
        <v/>
      </c>
      <c r="F114" s="57" t="str">
        <f>FHD_P_67</f>
        <v/>
      </c>
      <c r="G114" s="24" t="s">
        <v>50</v>
      </c>
      <c r="H114" s="61"/>
      <c r="I114" s="61"/>
      <c r="J114" s="14"/>
      <c r="K114" s="3"/>
      <c r="L114" s="3"/>
      <c r="Q114" s="3"/>
      <c r="T114" s="5"/>
      <c r="Z114" s="6"/>
      <c r="AA114" s="6"/>
      <c r="AB114" s="6"/>
      <c r="AC114" s="6"/>
      <c r="AD114" s="6"/>
      <c r="AE114" s="2">
        <v>0</v>
      </c>
    </row>
    <row r="115" spans="1:31" s="2" customFormat="1" ht="42.75" hidden="1" customHeight="1">
      <c r="A115" s="39"/>
      <c r="C115" s="3"/>
      <c r="D115" s="10"/>
      <c r="E115" s="11" t="str">
        <f>FHD_NUM_P_68</f>
        <v/>
      </c>
      <c r="F115" s="38" t="str">
        <f>FHD_P_68</f>
        <v/>
      </c>
      <c r="G115" s="24" t="s">
        <v>50</v>
      </c>
      <c r="H115" s="61"/>
      <c r="I115" s="61"/>
      <c r="J115" s="14"/>
      <c r="K115" s="3"/>
      <c r="L115" s="3"/>
      <c r="Q115" s="3"/>
      <c r="T115" s="5"/>
      <c r="Z115" s="6"/>
      <c r="AA115" s="6"/>
      <c r="AB115" s="6"/>
      <c r="AC115" s="6"/>
      <c r="AD115" s="6"/>
      <c r="AE115" s="2">
        <v>0</v>
      </c>
    </row>
    <row r="116" spans="1:31" s="2" customFormat="1" ht="42.75" hidden="1" customHeight="1">
      <c r="A116" s="39"/>
      <c r="C116" s="3"/>
      <c r="D116" s="10"/>
      <c r="E116" s="11" t="str">
        <f>FHD_NUM_P_69</f>
        <v/>
      </c>
      <c r="F116" s="38" t="str">
        <f>FHD_P_69</f>
        <v/>
      </c>
      <c r="G116" s="24" t="s">
        <v>50</v>
      </c>
      <c r="H116" s="61"/>
      <c r="I116" s="61"/>
      <c r="J116" s="14"/>
      <c r="K116" s="3"/>
      <c r="L116" s="3"/>
      <c r="Q116" s="3"/>
      <c r="T116" s="5"/>
      <c r="Z116" s="6"/>
      <c r="AA116" s="6"/>
      <c r="AB116" s="6"/>
      <c r="AC116" s="6"/>
      <c r="AD116" s="6"/>
      <c r="AE116" s="2">
        <v>0</v>
      </c>
    </row>
    <row r="117" spans="1:31" s="2" customFormat="1" ht="42.75" hidden="1" customHeight="1">
      <c r="A117" s="39"/>
      <c r="C117" s="3"/>
      <c r="D117" s="10"/>
      <c r="E117" s="11" t="str">
        <f>FHD_NUM_P_70</f>
        <v/>
      </c>
      <c r="F117" s="35" t="str">
        <f>FHD_P_70</f>
        <v/>
      </c>
      <c r="G117" s="24" t="s">
        <v>54</v>
      </c>
      <c r="H117" s="36"/>
      <c r="I117" s="36"/>
      <c r="J117" s="14"/>
      <c r="K117" s="3"/>
      <c r="L117" s="3"/>
      <c r="Q117" s="3"/>
      <c r="T117" s="5"/>
      <c r="Z117" s="6"/>
      <c r="AA117" s="6"/>
      <c r="AB117" s="6"/>
      <c r="AC117" s="6"/>
      <c r="AD117" s="6"/>
      <c r="AE117" s="2">
        <v>0</v>
      </c>
    </row>
    <row r="118" spans="1:31" s="2" customFormat="1" ht="42.75" hidden="1" customHeight="1">
      <c r="A118" s="39"/>
      <c r="C118" s="3"/>
      <c r="D118" s="10"/>
      <c r="E118" s="11" t="str">
        <f>FHD_NUM_P_71</f>
        <v/>
      </c>
      <c r="F118" s="35" t="str">
        <f>FHD_P_71</f>
        <v/>
      </c>
      <c r="G118" s="24" t="s">
        <v>54</v>
      </c>
      <c r="H118" s="36"/>
      <c r="I118" s="36"/>
      <c r="J118" s="14"/>
      <c r="K118" s="3"/>
      <c r="L118" s="3"/>
      <c r="Q118" s="3"/>
      <c r="T118" s="5"/>
      <c r="Z118" s="6"/>
      <c r="AA118" s="6"/>
      <c r="AB118" s="6"/>
      <c r="AC118" s="6"/>
      <c r="AD118" s="6"/>
      <c r="AE118" s="2">
        <v>0</v>
      </c>
    </row>
    <row r="119" spans="1:31" ht="29.25" customHeight="1">
      <c r="D119" s="10"/>
      <c r="E119" s="11" t="str">
        <f>FHD_NUM_P_72</f>
        <v>12</v>
      </c>
      <c r="F119" s="35" t="str">
        <f>FHD_P_72</f>
        <v>Среднесписочная численность основного производственного персонала</v>
      </c>
      <c r="G119" s="24" t="s">
        <v>55</v>
      </c>
      <c r="H119" s="61"/>
      <c r="I119" s="61">
        <v>131.16999999999999</v>
      </c>
      <c r="J119" s="14"/>
      <c r="AE119" s="4">
        <v>19</v>
      </c>
    </row>
    <row r="120" spans="1:31" ht="42.75" hidden="1" customHeight="1">
      <c r="A120" s="59" t="s">
        <v>56</v>
      </c>
      <c r="D120" s="10"/>
      <c r="E120" s="11" t="str">
        <f>FHD_NUM_P_73</f>
        <v/>
      </c>
      <c r="F120" s="35" t="str">
        <f>FHD_P_73</f>
        <v/>
      </c>
      <c r="G120" s="91" t="s">
        <v>55</v>
      </c>
      <c r="H120" s="92"/>
      <c r="I120" s="92"/>
      <c r="J120" s="14"/>
      <c r="AE120" s="4">
        <v>0</v>
      </c>
    </row>
    <row r="121" spans="1:31" ht="42.75" customHeight="1">
      <c r="A121" s="59" t="s">
        <v>57</v>
      </c>
      <c r="D121" s="10"/>
      <c r="E121" s="11" t="str">
        <f>FHD_NUM_P_74</f>
        <v>13</v>
      </c>
      <c r="F121" s="35" t="str">
        <f>FHD_P_74</f>
        <v>Удельный расход электрической энергии на подачу воды в сеть</v>
      </c>
      <c r="G121" s="24" t="s">
        <v>58</v>
      </c>
      <c r="H121" s="61"/>
      <c r="I121" s="61">
        <v>0.92</v>
      </c>
      <c r="J121" s="14"/>
      <c r="AE121" s="4">
        <v>0</v>
      </c>
    </row>
    <row r="122" spans="1:31" s="4" customFormat="1" ht="42.75" customHeight="1">
      <c r="A122" s="39" t="s">
        <v>59</v>
      </c>
      <c r="B122" s="2"/>
      <c r="C122" s="3"/>
      <c r="D122" s="10"/>
      <c r="E122" s="11" t="str">
        <f>FHD_NUM_P_75</f>
        <v>14</v>
      </c>
      <c r="F122" s="35" t="str">
        <f>FHD_P_75</f>
        <v>Расход воды на собственные нужды, в том числе:</v>
      </c>
      <c r="G122" s="24" t="s">
        <v>10</v>
      </c>
      <c r="H122" s="36"/>
      <c r="I122" s="36">
        <v>19.43</v>
      </c>
      <c r="J122" s="14"/>
      <c r="K122" s="3"/>
      <c r="L122" s="3"/>
      <c r="M122" s="2"/>
      <c r="N122" s="2"/>
      <c r="O122" s="2"/>
      <c r="P122" s="2"/>
      <c r="Q122" s="3"/>
      <c r="R122" s="2"/>
      <c r="S122" s="2"/>
      <c r="T122" s="5"/>
      <c r="U122" s="2"/>
      <c r="V122" s="2"/>
      <c r="W122" s="2"/>
      <c r="X122" s="2"/>
      <c r="Y122" s="2"/>
      <c r="Z122" s="6"/>
      <c r="AA122" s="6"/>
      <c r="AB122" s="6"/>
      <c r="AC122" s="6"/>
      <c r="AD122" s="6"/>
      <c r="AE122" s="4">
        <v>0</v>
      </c>
    </row>
    <row r="123" spans="1:31" s="4" customFormat="1" ht="42.75" customHeight="1">
      <c r="A123" s="39"/>
      <c r="B123" s="2"/>
      <c r="C123" s="3"/>
      <c r="D123" s="10"/>
      <c r="E123" s="11" t="str">
        <f>FHD_NUM_P_76</f>
        <v>14.1</v>
      </c>
      <c r="F123" s="35" t="str">
        <f>FHD_P_76</f>
        <v>Расход воды на хозяйственно-бытовые нужды</v>
      </c>
      <c r="G123" s="24" t="s">
        <v>10</v>
      </c>
      <c r="H123" s="36"/>
      <c r="I123" s="36">
        <v>0.34</v>
      </c>
      <c r="J123" s="14"/>
      <c r="K123" s="3"/>
      <c r="L123" s="3"/>
      <c r="M123" s="2"/>
      <c r="N123" s="2"/>
      <c r="O123" s="2"/>
      <c r="P123" s="2"/>
      <c r="Q123" s="3"/>
      <c r="R123" s="2"/>
      <c r="S123" s="2"/>
      <c r="T123" s="5"/>
      <c r="U123" s="2"/>
      <c r="V123" s="2"/>
      <c r="W123" s="2"/>
      <c r="X123" s="2"/>
      <c r="Y123" s="2"/>
      <c r="Z123" s="6"/>
      <c r="AA123" s="6"/>
      <c r="AB123" s="6"/>
      <c r="AC123" s="6"/>
      <c r="AD123" s="6"/>
      <c r="AE123" s="4">
        <v>0</v>
      </c>
    </row>
    <row r="124" spans="1:31" s="4" customFormat="1" ht="42.75" customHeight="1">
      <c r="A124" s="39"/>
      <c r="B124" s="2"/>
      <c r="C124" s="3"/>
      <c r="D124" s="10"/>
      <c r="E124" s="11" t="str">
        <f>FHD_NUM_P_77</f>
        <v>15</v>
      </c>
      <c r="F124" s="35" t="str">
        <f>FHD_P_77</f>
        <v>Показатель использования производственных объектов (по объему перекачки), в том числе:</v>
      </c>
      <c r="G124" s="24" t="s">
        <v>10</v>
      </c>
      <c r="H124" s="36"/>
      <c r="I124" s="36">
        <v>29.24</v>
      </c>
      <c r="J124" s="14"/>
      <c r="K124" s="3"/>
      <c r="L124" s="3"/>
      <c r="M124" s="2"/>
      <c r="N124" s="2"/>
      <c r="O124" s="2"/>
      <c r="P124" s="2"/>
      <c r="Q124" s="3"/>
      <c r="R124" s="2"/>
      <c r="S124" s="2"/>
      <c r="T124" s="5"/>
      <c r="U124" s="2"/>
      <c r="V124" s="2"/>
      <c r="W124" s="2"/>
      <c r="X124" s="2"/>
      <c r="Y124" s="2"/>
      <c r="Z124" s="6"/>
      <c r="AA124" s="6"/>
      <c r="AB124" s="6"/>
      <c r="AC124" s="6"/>
      <c r="AD124" s="6"/>
      <c r="AE124" s="4">
        <v>0</v>
      </c>
    </row>
    <row r="125" spans="1:31" s="3" customFormat="1" ht="0.75" customHeight="1">
      <c r="A125" s="39"/>
      <c r="D125" s="9"/>
      <c r="E125" s="17" t="str">
        <f>E124&amp;".0"</f>
        <v>15.0</v>
      </c>
      <c r="F125" s="93"/>
      <c r="G125" s="94"/>
      <c r="H125" s="72"/>
      <c r="I125" s="72"/>
      <c r="AE125" s="3">
        <v>0</v>
      </c>
    </row>
    <row r="126" spans="1:31" ht="22.5" hidden="1" customHeight="1">
      <c r="A126" s="39" t="s">
        <v>60</v>
      </c>
      <c r="D126" s="10"/>
      <c r="E126" s="11" t="str">
        <f>FHD_NUM_P_78</f>
        <v/>
      </c>
      <c r="F126" s="35" t="str">
        <f>FHD_P_78</f>
        <v/>
      </c>
      <c r="G126" s="24" t="s">
        <v>11</v>
      </c>
      <c r="H126" s="61"/>
      <c r="I126" s="61"/>
      <c r="J126" s="14"/>
      <c r="AE126" s="4">
        <v>0</v>
      </c>
    </row>
    <row r="127" spans="1:31" s="3" customFormat="1" ht="0.75" hidden="1" customHeight="1">
      <c r="A127" s="39"/>
      <c r="D127" s="9"/>
      <c r="E127" s="17" t="str">
        <f>E126&amp;".0"</f>
        <v>.0</v>
      </c>
      <c r="F127" s="93"/>
      <c r="G127" s="94"/>
      <c r="H127" s="72"/>
      <c r="I127" s="72"/>
      <c r="AE127" s="3">
        <v>0</v>
      </c>
    </row>
    <row r="128" spans="1:31" ht="15" hidden="1" customHeight="1">
      <c r="A128" s="39"/>
      <c r="D128" s="52"/>
      <c r="E128" s="53"/>
      <c r="F128" s="95" t="s">
        <v>53</v>
      </c>
      <c r="G128" s="55"/>
      <c r="H128" s="56"/>
      <c r="I128" s="56"/>
      <c r="J128" s="14"/>
      <c r="AE128" s="4">
        <v>0</v>
      </c>
    </row>
    <row r="129" spans="1:31" ht="22.5" hidden="1" customHeight="1">
      <c r="A129" s="39"/>
      <c r="D129" s="10"/>
      <c r="E129" s="11" t="str">
        <f>FHD_NUM_P_79</f>
        <v/>
      </c>
      <c r="F129" s="35" t="str">
        <f>FHD_P_79</f>
        <v/>
      </c>
      <c r="G129" s="13" t="s">
        <v>12</v>
      </c>
      <c r="H129" s="61"/>
      <c r="I129" s="61"/>
      <c r="J129" s="14"/>
      <c r="AE129" s="4">
        <v>0</v>
      </c>
    </row>
    <row r="130" spans="1:31" s="3" customFormat="1" ht="0.75" hidden="1" customHeight="1">
      <c r="A130" s="39"/>
      <c r="D130" s="9"/>
      <c r="E130" s="17" t="str">
        <f>E129&amp;".0"</f>
        <v>.0</v>
      </c>
      <c r="F130" s="96"/>
      <c r="G130" s="94"/>
      <c r="H130" s="72"/>
      <c r="I130" s="72"/>
      <c r="AE130" s="3">
        <v>0</v>
      </c>
    </row>
    <row r="131" spans="1:31" ht="15" hidden="1" customHeight="1">
      <c r="A131" s="39"/>
      <c r="D131" s="52"/>
      <c r="E131" s="53"/>
      <c r="F131" s="95" t="s">
        <v>53</v>
      </c>
      <c r="G131" s="55"/>
      <c r="H131" s="56"/>
      <c r="I131" s="56"/>
      <c r="J131" s="14"/>
      <c r="AE131" s="4">
        <v>0</v>
      </c>
    </row>
    <row r="132" spans="1:31" ht="22.5" hidden="1" customHeight="1">
      <c r="A132" s="39"/>
      <c r="D132" s="10"/>
      <c r="E132" s="11" t="str">
        <f>FHD_NUM_P_80</f>
        <v/>
      </c>
      <c r="F132" s="35" t="str">
        <f>FHD_P_80</f>
        <v/>
      </c>
      <c r="G132" s="13" t="s">
        <v>61</v>
      </c>
      <c r="H132" s="36"/>
      <c r="I132" s="36"/>
      <c r="J132" s="14"/>
      <c r="AE132" s="4">
        <v>0</v>
      </c>
    </row>
    <row r="133" spans="1:31" ht="18.75" hidden="1" customHeight="1">
      <c r="A133" s="39"/>
      <c r="D133" s="10"/>
      <c r="E133" s="11" t="str">
        <f>FHD_NUM_P_81</f>
        <v/>
      </c>
      <c r="F133" s="35" t="str">
        <f>FHD_P_81</f>
        <v/>
      </c>
      <c r="G133" s="13" t="s">
        <v>62</v>
      </c>
      <c r="H133" s="36"/>
      <c r="I133" s="36"/>
      <c r="J133" s="14"/>
      <c r="AE133" s="4">
        <v>0</v>
      </c>
    </row>
    <row r="134" spans="1:31" ht="18.75" hidden="1" customHeight="1">
      <c r="A134" s="39"/>
      <c r="C134" s="3" t="s">
        <v>45</v>
      </c>
      <c r="D134" s="10"/>
      <c r="E134" s="11" t="str">
        <f>FHD_NUM_P_82</f>
        <v/>
      </c>
      <c r="F134" s="35" t="str">
        <f>FHD_P_82</f>
        <v/>
      </c>
      <c r="G134" s="13" t="s">
        <v>31</v>
      </c>
      <c r="H134" s="97"/>
      <c r="I134" s="97"/>
      <c r="J134" s="14"/>
      <c r="AE134" s="4">
        <v>0</v>
      </c>
    </row>
    <row r="135" spans="1:31" ht="18.75" hidden="1" customHeight="1">
      <c r="A135" s="39"/>
      <c r="C135" s="3" t="s">
        <v>45</v>
      </c>
      <c r="D135" s="10"/>
      <c r="E135" s="11" t="str">
        <f>FHD_NUM_P_83</f>
        <v/>
      </c>
      <c r="F135" s="38" t="str">
        <f>FHD_P_83</f>
        <v/>
      </c>
      <c r="G135" s="13" t="s">
        <v>31</v>
      </c>
      <c r="H135" s="97"/>
      <c r="I135" s="97"/>
      <c r="J135" s="14"/>
      <c r="AE135" s="4">
        <v>0</v>
      </c>
    </row>
    <row r="136" spans="1:31" ht="18.75" hidden="1" customHeight="1">
      <c r="A136" s="39"/>
      <c r="C136" s="3" t="s">
        <v>45</v>
      </c>
      <c r="D136" s="10"/>
      <c r="E136" s="11" t="str">
        <f>FHD_NUM_P_84</f>
        <v/>
      </c>
      <c r="F136" s="38" t="str">
        <f>FHD_P_84</f>
        <v/>
      </c>
      <c r="G136" s="13" t="s">
        <v>31</v>
      </c>
      <c r="H136" s="97"/>
      <c r="I136" s="97"/>
      <c r="J136" s="14"/>
      <c r="AE136" s="4">
        <v>0</v>
      </c>
    </row>
    <row r="137" spans="1:31" ht="11.45" customHeight="1">
      <c r="D137" s="10"/>
      <c r="AE137" s="4">
        <v>11</v>
      </c>
    </row>
    <row r="138" spans="1:31" ht="13.5" customHeight="1">
      <c r="D138" s="10"/>
      <c r="E138" s="98"/>
      <c r="F138" s="99"/>
      <c r="G138" s="99"/>
      <c r="H138" s="99"/>
      <c r="I138" s="100"/>
      <c r="AE138" s="4">
        <v>13</v>
      </c>
    </row>
    <row r="139" spans="1:31" s="48" customFormat="1" ht="11.45" customHeight="1">
      <c r="A139" s="1"/>
      <c r="B139" s="3"/>
      <c r="C139" s="3"/>
      <c r="F139" s="101"/>
      <c r="G139" s="4"/>
      <c r="H139" s="4"/>
      <c r="I139" s="4"/>
      <c r="J139" s="2"/>
      <c r="K139" s="3"/>
      <c r="L139" s="3"/>
      <c r="M139" s="2"/>
      <c r="N139" s="2"/>
      <c r="O139" s="2"/>
      <c r="P139" s="2"/>
      <c r="Q139" s="3"/>
      <c r="R139" s="2"/>
      <c r="S139" s="2"/>
      <c r="T139" s="5"/>
      <c r="U139" s="2"/>
      <c r="V139" s="2"/>
      <c r="W139" s="2"/>
      <c r="X139" s="2"/>
      <c r="Y139" s="2"/>
      <c r="Z139" s="6"/>
      <c r="AA139" s="47"/>
      <c r="AB139" s="47"/>
      <c r="AC139" s="47"/>
      <c r="AD139" s="47"/>
      <c r="AE139" s="48">
        <v>11</v>
      </c>
    </row>
    <row r="140" spans="1:31" s="48" customFormat="1" ht="11.45" customHeight="1">
      <c r="A140" s="1"/>
      <c r="B140" s="3"/>
      <c r="C140" s="3"/>
      <c r="J140" s="2"/>
      <c r="K140" s="3"/>
      <c r="L140" s="3"/>
      <c r="M140" s="2"/>
      <c r="N140" s="2"/>
      <c r="O140" s="2"/>
      <c r="P140" s="2"/>
      <c r="Q140" s="3"/>
      <c r="R140" s="2"/>
      <c r="S140" s="2"/>
      <c r="T140" s="5"/>
      <c r="U140" s="2"/>
      <c r="V140" s="2"/>
      <c r="W140" s="2"/>
      <c r="X140" s="2"/>
      <c r="Y140" s="2"/>
      <c r="Z140" s="6"/>
      <c r="AA140" s="47"/>
      <c r="AB140" s="47"/>
      <c r="AC140" s="47"/>
      <c r="AD140" s="47"/>
      <c r="AE140" s="48">
        <v>11</v>
      </c>
    </row>
    <row r="141" spans="1:31" s="48" customFormat="1" ht="11.45" customHeight="1">
      <c r="A141" s="1"/>
      <c r="B141" s="3"/>
      <c r="C141" s="3"/>
      <c r="J141" s="2"/>
      <c r="K141" s="3"/>
      <c r="L141" s="3"/>
      <c r="M141" s="2"/>
      <c r="N141" s="2"/>
      <c r="O141" s="2"/>
      <c r="P141" s="2"/>
      <c r="Q141" s="3"/>
      <c r="R141" s="2"/>
      <c r="S141" s="2"/>
      <c r="T141" s="5"/>
      <c r="U141" s="2"/>
      <c r="V141" s="2"/>
      <c r="W141" s="2"/>
      <c r="X141" s="2"/>
      <c r="Y141" s="2"/>
      <c r="Z141" s="6"/>
      <c r="AA141" s="47"/>
      <c r="AB141" s="47"/>
      <c r="AC141" s="47"/>
      <c r="AD141" s="47"/>
      <c r="AE141" s="48">
        <v>11</v>
      </c>
    </row>
    <row r="142" spans="1:31" s="48" customFormat="1" ht="11.45" customHeight="1">
      <c r="A142" s="1"/>
      <c r="B142" s="3"/>
      <c r="C142" s="3"/>
      <c r="H142" s="47" t="str">
        <f>IF(H30-H31&lt;&gt;H79,"WARNING","")</f>
        <v/>
      </c>
      <c r="I142" s="47" t="str">
        <f>IF(I30-I31&lt;&gt;I79,"WARNING","")</f>
        <v>WARNING</v>
      </c>
      <c r="J142" s="2"/>
      <c r="K142" s="3"/>
      <c r="L142" s="3"/>
      <c r="M142" s="2"/>
      <c r="N142" s="2"/>
      <c r="O142" s="2"/>
      <c r="P142" s="2"/>
      <c r="Q142" s="3"/>
      <c r="R142" s="2"/>
      <c r="S142" s="2"/>
      <c r="T142" s="5"/>
      <c r="U142" s="2"/>
      <c r="V142" s="2"/>
      <c r="W142" s="2"/>
      <c r="X142" s="2"/>
      <c r="Y142" s="2"/>
      <c r="Z142" s="6"/>
      <c r="AA142" s="47"/>
      <c r="AB142" s="47"/>
      <c r="AC142" s="47"/>
      <c r="AD142" s="47"/>
      <c r="AE142" s="48">
        <v>11</v>
      </c>
    </row>
    <row r="143" spans="1:31" s="48" customFormat="1" ht="11.45" customHeight="1">
      <c r="A143" s="1"/>
      <c r="B143" s="3"/>
      <c r="C143" s="3"/>
      <c r="J143" s="2"/>
      <c r="K143" s="3"/>
      <c r="L143" s="3"/>
      <c r="M143" s="2"/>
      <c r="N143" s="2"/>
      <c r="O143" s="2"/>
      <c r="P143" s="2"/>
      <c r="Q143" s="3"/>
      <c r="R143" s="2"/>
      <c r="S143" s="2"/>
      <c r="T143" s="5"/>
      <c r="U143" s="2"/>
      <c r="V143" s="2"/>
      <c r="W143" s="2"/>
      <c r="X143" s="2"/>
      <c r="Y143" s="2"/>
      <c r="Z143" s="6"/>
      <c r="AA143" s="47"/>
      <c r="AB143" s="47"/>
      <c r="AC143" s="47"/>
      <c r="AD143" s="47"/>
      <c r="AE143" s="48">
        <v>11</v>
      </c>
    </row>
    <row r="144" spans="1:31" s="48" customFormat="1" ht="11.45" customHeight="1">
      <c r="A144" s="1"/>
      <c r="B144" s="3"/>
      <c r="C144" s="3"/>
      <c r="J144" s="2"/>
      <c r="K144" s="3"/>
      <c r="L144" s="3"/>
      <c r="M144" s="2"/>
      <c r="N144" s="2"/>
      <c r="O144" s="2"/>
      <c r="P144" s="2"/>
      <c r="Q144" s="3"/>
      <c r="R144" s="2"/>
      <c r="S144" s="2"/>
      <c r="T144" s="5"/>
      <c r="U144" s="2"/>
      <c r="V144" s="2"/>
      <c r="W144" s="2"/>
      <c r="X144" s="2"/>
      <c r="Y144" s="2"/>
      <c r="Z144" s="6"/>
      <c r="AA144" s="47"/>
      <c r="AB144" s="47"/>
      <c r="AC144" s="47"/>
      <c r="AD144" s="47"/>
      <c r="AE144" s="48">
        <v>11</v>
      </c>
    </row>
    <row r="145" spans="1:31" s="48" customFormat="1" ht="11.45" customHeight="1">
      <c r="A145" s="1"/>
      <c r="B145" s="3"/>
      <c r="C145" s="3"/>
      <c r="J145" s="2"/>
      <c r="K145" s="3"/>
      <c r="L145" s="3"/>
      <c r="M145" s="2"/>
      <c r="N145" s="2"/>
      <c r="O145" s="2"/>
      <c r="P145" s="2"/>
      <c r="Q145" s="3"/>
      <c r="R145" s="2"/>
      <c r="S145" s="2"/>
      <c r="T145" s="5"/>
      <c r="U145" s="2"/>
      <c r="V145" s="2"/>
      <c r="W145" s="2"/>
      <c r="X145" s="2"/>
      <c r="Y145" s="2"/>
      <c r="Z145" s="6"/>
      <c r="AA145" s="47"/>
      <c r="AB145" s="47"/>
      <c r="AC145" s="47"/>
      <c r="AD145" s="47"/>
      <c r="AE145" s="48">
        <v>11</v>
      </c>
    </row>
    <row r="146" spans="1:31" s="48" customFormat="1" ht="11.45" customHeight="1">
      <c r="A146" s="1"/>
      <c r="B146" s="3"/>
      <c r="C146" s="3"/>
      <c r="J146" s="2"/>
      <c r="K146" s="3"/>
      <c r="L146" s="3"/>
      <c r="M146" s="2"/>
      <c r="N146" s="2"/>
      <c r="O146" s="2"/>
      <c r="P146" s="2"/>
      <c r="Q146" s="3"/>
      <c r="R146" s="2"/>
      <c r="S146" s="2"/>
      <c r="T146" s="5"/>
      <c r="U146" s="2"/>
      <c r="V146" s="2"/>
      <c r="W146" s="2"/>
      <c r="X146" s="2"/>
      <c r="Y146" s="2"/>
      <c r="Z146" s="6"/>
      <c r="AA146" s="47"/>
      <c r="AB146" s="47"/>
      <c r="AC146" s="47"/>
      <c r="AD146" s="47"/>
      <c r="AE146" s="48">
        <v>11</v>
      </c>
    </row>
    <row r="147" spans="1:31" s="48" customFormat="1" ht="11.45" customHeight="1">
      <c r="A147" s="1"/>
      <c r="B147" s="3"/>
      <c r="C147" s="3"/>
      <c r="J147" s="2"/>
      <c r="K147" s="3"/>
      <c r="L147" s="3"/>
      <c r="M147" s="2"/>
      <c r="N147" s="2"/>
      <c r="O147" s="2"/>
      <c r="P147" s="2"/>
      <c r="Q147" s="3"/>
      <c r="R147" s="2"/>
      <c r="S147" s="2"/>
      <c r="T147" s="5"/>
      <c r="U147" s="2"/>
      <c r="V147" s="2"/>
      <c r="W147" s="2"/>
      <c r="X147" s="2"/>
      <c r="Y147" s="2"/>
      <c r="Z147" s="6"/>
      <c r="AA147" s="47"/>
      <c r="AB147" s="47"/>
      <c r="AC147" s="47"/>
      <c r="AD147" s="47"/>
      <c r="AE147" s="48">
        <v>11</v>
      </c>
    </row>
    <row r="148" spans="1:31" s="48" customFormat="1" ht="11.45" customHeight="1">
      <c r="A148" s="1"/>
      <c r="B148" s="3"/>
      <c r="C148" s="3"/>
      <c r="J148" s="2"/>
      <c r="K148" s="3"/>
      <c r="L148" s="3"/>
      <c r="M148" s="2"/>
      <c r="N148" s="2"/>
      <c r="O148" s="2"/>
      <c r="P148" s="2"/>
      <c r="Q148" s="3"/>
      <c r="R148" s="2"/>
      <c r="S148" s="2"/>
      <c r="T148" s="5"/>
      <c r="U148" s="2"/>
      <c r="V148" s="2"/>
      <c r="W148" s="2"/>
      <c r="X148" s="2"/>
      <c r="Y148" s="2"/>
      <c r="Z148" s="6"/>
      <c r="AA148" s="47"/>
      <c r="AB148" s="47"/>
      <c r="AC148" s="47"/>
      <c r="AD148" s="47"/>
      <c r="AE148" s="48">
        <v>11</v>
      </c>
    </row>
    <row r="149" spans="1:31" s="48" customFormat="1" ht="11.45" customHeight="1">
      <c r="A149" s="1"/>
      <c r="B149" s="3"/>
      <c r="C149" s="3"/>
      <c r="J149" s="2"/>
      <c r="K149" s="3"/>
      <c r="L149" s="3"/>
      <c r="M149" s="2"/>
      <c r="N149" s="2"/>
      <c r="O149" s="2"/>
      <c r="P149" s="2"/>
      <c r="Q149" s="3"/>
      <c r="R149" s="2"/>
      <c r="S149" s="2"/>
      <c r="T149" s="5"/>
      <c r="U149" s="2"/>
      <c r="V149" s="2"/>
      <c r="W149" s="2"/>
      <c r="X149" s="2"/>
      <c r="Y149" s="2"/>
      <c r="Z149" s="6"/>
      <c r="AA149" s="47"/>
      <c r="AB149" s="47"/>
      <c r="AC149" s="47"/>
      <c r="AD149" s="47"/>
      <c r="AE149" s="48">
        <v>11</v>
      </c>
    </row>
    <row r="150" spans="1:31" s="48" customFormat="1" ht="11.45" customHeight="1">
      <c r="A150" s="1"/>
      <c r="B150" s="3"/>
      <c r="C150" s="3"/>
      <c r="J150" s="2"/>
      <c r="K150" s="3"/>
      <c r="L150" s="3"/>
      <c r="M150" s="2"/>
      <c r="N150" s="2"/>
      <c r="O150" s="2"/>
      <c r="P150" s="2"/>
      <c r="Q150" s="3"/>
      <c r="R150" s="2"/>
      <c r="S150" s="2"/>
      <c r="T150" s="5"/>
      <c r="U150" s="2"/>
      <c r="V150" s="2"/>
      <c r="W150" s="2"/>
      <c r="X150" s="2"/>
      <c r="Y150" s="2"/>
      <c r="Z150" s="6"/>
      <c r="AA150" s="47"/>
      <c r="AB150" s="47"/>
      <c r="AC150" s="47"/>
      <c r="AD150" s="47"/>
      <c r="AE150" s="48">
        <v>11</v>
      </c>
    </row>
    <row r="151" spans="1:31" s="48" customFormat="1" ht="11.45" customHeight="1">
      <c r="A151" s="1"/>
      <c r="B151" s="3"/>
      <c r="C151" s="3"/>
      <c r="J151" s="2"/>
      <c r="K151" s="3"/>
      <c r="L151" s="3"/>
      <c r="M151" s="2"/>
      <c r="N151" s="2"/>
      <c r="O151" s="2"/>
      <c r="P151" s="2"/>
      <c r="Q151" s="3"/>
      <c r="R151" s="2"/>
      <c r="S151" s="2"/>
      <c r="T151" s="5"/>
      <c r="U151" s="2"/>
      <c r="V151" s="2"/>
      <c r="W151" s="2"/>
      <c r="X151" s="2"/>
      <c r="Y151" s="2"/>
      <c r="Z151" s="6"/>
      <c r="AA151" s="47"/>
      <c r="AB151" s="47"/>
      <c r="AC151" s="47"/>
      <c r="AD151" s="47"/>
      <c r="AE151" s="48">
        <v>11</v>
      </c>
    </row>
    <row r="152" spans="1:31" s="48" customFormat="1" ht="11.45" customHeight="1">
      <c r="A152" s="1"/>
      <c r="B152" s="3"/>
      <c r="C152" s="3"/>
      <c r="J152" s="2"/>
      <c r="K152" s="3"/>
      <c r="L152" s="3"/>
      <c r="M152" s="2"/>
      <c r="N152" s="2"/>
      <c r="O152" s="2"/>
      <c r="P152" s="2"/>
      <c r="Q152" s="3"/>
      <c r="R152" s="2"/>
      <c r="S152" s="2"/>
      <c r="T152" s="5"/>
      <c r="U152" s="2"/>
      <c r="V152" s="2"/>
      <c r="W152" s="2"/>
      <c r="X152" s="2"/>
      <c r="Y152" s="2"/>
      <c r="Z152" s="6"/>
      <c r="AA152" s="47"/>
      <c r="AB152" s="47"/>
      <c r="AC152" s="47"/>
      <c r="AD152" s="47"/>
      <c r="AE152" s="48">
        <v>11</v>
      </c>
    </row>
    <row r="153" spans="1:31" s="48" customFormat="1" ht="11.45" customHeight="1">
      <c r="A153" s="1"/>
      <c r="B153" s="3"/>
      <c r="C153" s="3"/>
      <c r="J153" s="2"/>
      <c r="K153" s="3"/>
      <c r="L153" s="3"/>
      <c r="M153" s="2"/>
      <c r="N153" s="2"/>
      <c r="O153" s="2"/>
      <c r="P153" s="2"/>
      <c r="Q153" s="3"/>
      <c r="R153" s="2"/>
      <c r="S153" s="2"/>
      <c r="T153" s="5"/>
      <c r="U153" s="2"/>
      <c r="V153" s="2"/>
      <c r="W153" s="2"/>
      <c r="X153" s="2"/>
      <c r="Y153" s="2"/>
      <c r="Z153" s="6"/>
      <c r="AA153" s="47"/>
      <c r="AB153" s="47"/>
      <c r="AC153" s="47"/>
      <c r="AD153" s="47"/>
      <c r="AE153" s="48">
        <v>11</v>
      </c>
    </row>
    <row r="154" spans="1:31" s="48" customFormat="1" ht="11.45" customHeight="1">
      <c r="A154" s="1"/>
      <c r="B154" s="3"/>
      <c r="C154" s="3"/>
      <c r="J154" s="2"/>
      <c r="K154" s="3"/>
      <c r="L154" s="3"/>
      <c r="M154" s="2"/>
      <c r="N154" s="2"/>
      <c r="O154" s="2"/>
      <c r="P154" s="2"/>
      <c r="Q154" s="3"/>
      <c r="R154" s="2"/>
      <c r="S154" s="2"/>
      <c r="T154" s="5"/>
      <c r="U154" s="2"/>
      <c r="V154" s="2"/>
      <c r="W154" s="2"/>
      <c r="X154" s="2"/>
      <c r="Y154" s="2"/>
      <c r="Z154" s="6"/>
      <c r="AA154" s="47"/>
      <c r="AB154" s="47"/>
      <c r="AC154" s="47"/>
      <c r="AD154" s="47"/>
      <c r="AE154" s="48">
        <v>11</v>
      </c>
    </row>
    <row r="155" spans="1:31" s="48" customFormat="1" ht="11.45" customHeight="1">
      <c r="A155" s="1"/>
      <c r="B155" s="3"/>
      <c r="C155" s="3"/>
      <c r="J155" s="2"/>
      <c r="K155" s="3"/>
      <c r="L155" s="3"/>
      <c r="M155" s="2"/>
      <c r="N155" s="2"/>
      <c r="O155" s="2"/>
      <c r="P155" s="2"/>
      <c r="Q155" s="3"/>
      <c r="R155" s="2"/>
      <c r="S155" s="2"/>
      <c r="T155" s="5"/>
      <c r="U155" s="2"/>
      <c r="V155" s="2"/>
      <c r="W155" s="2"/>
      <c r="X155" s="2"/>
      <c r="Y155" s="2"/>
      <c r="Z155" s="6"/>
      <c r="AA155" s="47"/>
      <c r="AB155" s="47"/>
      <c r="AC155" s="47"/>
      <c r="AD155" s="47"/>
      <c r="AE155" s="48">
        <v>11</v>
      </c>
    </row>
    <row r="156" spans="1:31" s="48" customFormat="1" ht="11.45" customHeight="1">
      <c r="A156" s="1"/>
      <c r="B156" s="3"/>
      <c r="C156" s="3"/>
      <c r="J156" s="2"/>
      <c r="K156" s="3"/>
      <c r="L156" s="3"/>
      <c r="M156" s="2"/>
      <c r="N156" s="2"/>
      <c r="O156" s="2"/>
      <c r="P156" s="2"/>
      <c r="Q156" s="3"/>
      <c r="R156" s="2"/>
      <c r="S156" s="2"/>
      <c r="T156" s="5"/>
      <c r="U156" s="2"/>
      <c r="V156" s="2"/>
      <c r="W156" s="2"/>
      <c r="X156" s="2"/>
      <c r="Y156" s="2"/>
      <c r="Z156" s="6"/>
      <c r="AA156" s="47"/>
      <c r="AB156" s="47"/>
      <c r="AC156" s="47"/>
      <c r="AD156" s="47"/>
      <c r="AE156" s="48">
        <v>11</v>
      </c>
    </row>
    <row r="157" spans="1:31" s="48" customFormat="1" ht="11.45" customHeight="1">
      <c r="A157" s="1"/>
      <c r="B157" s="3"/>
      <c r="C157" s="3"/>
      <c r="J157" s="2"/>
      <c r="K157" s="3"/>
      <c r="L157" s="3"/>
      <c r="M157" s="2"/>
      <c r="N157" s="2"/>
      <c r="O157" s="2"/>
      <c r="P157" s="2"/>
      <c r="Q157" s="3"/>
      <c r="R157" s="2"/>
      <c r="S157" s="2"/>
      <c r="T157" s="5"/>
      <c r="U157" s="2"/>
      <c r="V157" s="2"/>
      <c r="W157" s="2"/>
      <c r="X157" s="2"/>
      <c r="Y157" s="2"/>
      <c r="Z157" s="6"/>
      <c r="AA157" s="47"/>
      <c r="AB157" s="47"/>
      <c r="AC157" s="47"/>
      <c r="AD157" s="47"/>
      <c r="AE157" s="48">
        <v>11</v>
      </c>
    </row>
    <row r="158" spans="1:31" s="48" customFormat="1" ht="11.45" customHeight="1">
      <c r="A158" s="1"/>
      <c r="B158" s="3"/>
      <c r="C158" s="3"/>
      <c r="J158" s="2"/>
      <c r="K158" s="3"/>
      <c r="L158" s="3"/>
      <c r="M158" s="2"/>
      <c r="N158" s="2"/>
      <c r="O158" s="2"/>
      <c r="P158" s="2"/>
      <c r="Q158" s="3"/>
      <c r="R158" s="2"/>
      <c r="S158" s="2"/>
      <c r="T158" s="5"/>
      <c r="U158" s="2"/>
      <c r="V158" s="2"/>
      <c r="W158" s="2"/>
      <c r="X158" s="2"/>
      <c r="Y158" s="2"/>
      <c r="Z158" s="6"/>
      <c r="AA158" s="47"/>
      <c r="AB158" s="47"/>
      <c r="AC158" s="47"/>
      <c r="AD158" s="47"/>
      <c r="AE158" s="48">
        <v>11</v>
      </c>
    </row>
    <row r="159" spans="1:31" s="48" customFormat="1" ht="11.45" customHeight="1">
      <c r="A159" s="1"/>
      <c r="B159" s="3"/>
      <c r="C159" s="3"/>
      <c r="J159" s="2"/>
      <c r="K159" s="3"/>
      <c r="L159" s="3"/>
      <c r="M159" s="2"/>
      <c r="N159" s="2"/>
      <c r="O159" s="2"/>
      <c r="P159" s="2"/>
      <c r="Q159" s="3"/>
      <c r="R159" s="2"/>
      <c r="S159" s="2"/>
      <c r="T159" s="5"/>
      <c r="U159" s="2"/>
      <c r="V159" s="2"/>
      <c r="W159" s="2"/>
      <c r="X159" s="2"/>
      <c r="Y159" s="2"/>
      <c r="Z159" s="6"/>
      <c r="AA159" s="47"/>
      <c r="AB159" s="47"/>
      <c r="AC159" s="47"/>
      <c r="AD159" s="47"/>
      <c r="AE159" s="48">
        <v>11</v>
      </c>
    </row>
    <row r="160" spans="1:31" s="48" customFormat="1" ht="11.45" customHeight="1">
      <c r="A160" s="1"/>
      <c r="B160" s="3"/>
      <c r="C160" s="3"/>
      <c r="J160" s="2"/>
      <c r="K160" s="3"/>
      <c r="L160" s="3"/>
      <c r="M160" s="2"/>
      <c r="N160" s="2"/>
      <c r="O160" s="2"/>
      <c r="P160" s="2"/>
      <c r="Q160" s="3"/>
      <c r="R160" s="2"/>
      <c r="S160" s="2"/>
      <c r="T160" s="5"/>
      <c r="U160" s="2"/>
      <c r="V160" s="2"/>
      <c r="W160" s="2"/>
      <c r="X160" s="2"/>
      <c r="Y160" s="2"/>
      <c r="Z160" s="6"/>
      <c r="AA160" s="47"/>
      <c r="AB160" s="47"/>
      <c r="AC160" s="47"/>
      <c r="AD160" s="47"/>
      <c r="AE160" s="48">
        <v>11</v>
      </c>
    </row>
    <row r="161" spans="1:31" s="48" customFormat="1" ht="11.45" customHeight="1">
      <c r="A161" s="1"/>
      <c r="B161" s="3"/>
      <c r="C161" s="3"/>
      <c r="J161" s="2"/>
      <c r="K161" s="3"/>
      <c r="L161" s="3"/>
      <c r="M161" s="2"/>
      <c r="N161" s="2"/>
      <c r="O161" s="2"/>
      <c r="P161" s="2"/>
      <c r="Q161" s="3"/>
      <c r="R161" s="2"/>
      <c r="S161" s="2"/>
      <c r="T161" s="5"/>
      <c r="U161" s="2"/>
      <c r="V161" s="2"/>
      <c r="W161" s="2"/>
      <c r="X161" s="2"/>
      <c r="Y161" s="2"/>
      <c r="Z161" s="6"/>
      <c r="AA161" s="47"/>
      <c r="AB161" s="47"/>
      <c r="AC161" s="47"/>
      <c r="AD161" s="47"/>
      <c r="AE161" s="48">
        <v>11</v>
      </c>
    </row>
    <row r="162" spans="1:31" s="48" customFormat="1" ht="11.45" customHeight="1">
      <c r="A162" s="1"/>
      <c r="B162" s="3"/>
      <c r="C162" s="3"/>
      <c r="J162" s="2"/>
      <c r="K162" s="3"/>
      <c r="L162" s="3"/>
      <c r="M162" s="2"/>
      <c r="N162" s="2"/>
      <c r="O162" s="2"/>
      <c r="P162" s="2"/>
      <c r="Q162" s="3"/>
      <c r="R162" s="2"/>
      <c r="S162" s="2"/>
      <c r="T162" s="5"/>
      <c r="U162" s="2"/>
      <c r="V162" s="2"/>
      <c r="W162" s="2"/>
      <c r="X162" s="2"/>
      <c r="Y162" s="2"/>
      <c r="Z162" s="6"/>
      <c r="AA162" s="47"/>
      <c r="AB162" s="47"/>
      <c r="AC162" s="47"/>
      <c r="AD162" s="47"/>
      <c r="AE162" s="48">
        <v>11</v>
      </c>
    </row>
    <row r="163" spans="1:31" s="48" customFormat="1" ht="11.45" customHeight="1">
      <c r="A163" s="1"/>
      <c r="B163" s="3"/>
      <c r="C163" s="3"/>
      <c r="J163" s="2"/>
      <c r="K163" s="3"/>
      <c r="L163" s="3"/>
      <c r="M163" s="2"/>
      <c r="N163" s="2"/>
      <c r="O163" s="2"/>
      <c r="P163" s="2"/>
      <c r="Q163" s="3"/>
      <c r="R163" s="2"/>
      <c r="S163" s="2"/>
      <c r="T163" s="5"/>
      <c r="U163" s="2"/>
      <c r="V163" s="2"/>
      <c r="W163" s="2"/>
      <c r="X163" s="2"/>
      <c r="Y163" s="2"/>
      <c r="Z163" s="6"/>
      <c r="AA163" s="47"/>
      <c r="AB163" s="47"/>
      <c r="AC163" s="47"/>
      <c r="AD163" s="47"/>
      <c r="AE163" s="48">
        <v>11</v>
      </c>
    </row>
    <row r="164" spans="1:31" s="48" customFormat="1" ht="11.45" customHeight="1">
      <c r="A164" s="1"/>
      <c r="B164" s="3"/>
      <c r="C164" s="3"/>
      <c r="J164" s="2"/>
      <c r="K164" s="3"/>
      <c r="L164" s="3"/>
      <c r="M164" s="2"/>
      <c r="N164" s="2"/>
      <c r="O164" s="2"/>
      <c r="P164" s="2"/>
      <c r="Q164" s="3"/>
      <c r="R164" s="2"/>
      <c r="S164" s="2"/>
      <c r="T164" s="5"/>
      <c r="U164" s="2"/>
      <c r="V164" s="2"/>
      <c r="W164" s="2"/>
      <c r="X164" s="2"/>
      <c r="Y164" s="2"/>
      <c r="Z164" s="6"/>
      <c r="AA164" s="47"/>
      <c r="AB164" s="47"/>
      <c r="AC164" s="47"/>
      <c r="AD164" s="47"/>
      <c r="AE164" s="48">
        <v>11</v>
      </c>
    </row>
    <row r="165" spans="1:31" s="48" customFormat="1" ht="11.45" customHeight="1">
      <c r="A165" s="1"/>
      <c r="B165" s="3"/>
      <c r="C165" s="3"/>
      <c r="J165" s="2"/>
      <c r="K165" s="3"/>
      <c r="L165" s="3"/>
      <c r="M165" s="2"/>
      <c r="N165" s="2"/>
      <c r="O165" s="2"/>
      <c r="P165" s="2"/>
      <c r="Q165" s="3"/>
      <c r="R165" s="2"/>
      <c r="S165" s="2"/>
      <c r="T165" s="5"/>
      <c r="U165" s="2"/>
      <c r="V165" s="2"/>
      <c r="W165" s="2"/>
      <c r="X165" s="2"/>
      <c r="Y165" s="2"/>
      <c r="Z165" s="6"/>
      <c r="AA165" s="47"/>
      <c r="AB165" s="47"/>
      <c r="AC165" s="47"/>
      <c r="AD165" s="47"/>
      <c r="AE165" s="48">
        <v>11</v>
      </c>
    </row>
    <row r="166" spans="1:31" s="48" customFormat="1" ht="11.45" customHeight="1">
      <c r="A166" s="1"/>
      <c r="B166" s="3"/>
      <c r="C166" s="3"/>
      <c r="J166" s="2"/>
      <c r="K166" s="3"/>
      <c r="L166" s="3"/>
      <c r="M166" s="2"/>
      <c r="N166" s="2"/>
      <c r="O166" s="2"/>
      <c r="P166" s="2"/>
      <c r="Q166" s="3"/>
      <c r="R166" s="2"/>
      <c r="S166" s="2"/>
      <c r="T166" s="5"/>
      <c r="U166" s="2"/>
      <c r="V166" s="2"/>
      <c r="W166" s="2"/>
      <c r="X166" s="2"/>
      <c r="Y166" s="2"/>
      <c r="Z166" s="6"/>
      <c r="AA166" s="47"/>
      <c r="AB166" s="47"/>
      <c r="AC166" s="47"/>
      <c r="AD166" s="47"/>
      <c r="AE166" s="48">
        <v>11</v>
      </c>
    </row>
    <row r="167" spans="1:31" s="48" customFormat="1" ht="11.45" customHeight="1">
      <c r="A167" s="1"/>
      <c r="B167" s="3"/>
      <c r="C167" s="3"/>
      <c r="J167" s="2"/>
      <c r="K167" s="3"/>
      <c r="L167" s="3"/>
      <c r="M167" s="2"/>
      <c r="N167" s="2"/>
      <c r="O167" s="2"/>
      <c r="P167" s="2"/>
      <c r="Q167" s="3"/>
      <c r="R167" s="2"/>
      <c r="S167" s="2"/>
      <c r="T167" s="5"/>
      <c r="U167" s="2"/>
      <c r="V167" s="2"/>
      <c r="W167" s="2"/>
      <c r="X167" s="2"/>
      <c r="Y167" s="2"/>
      <c r="Z167" s="6"/>
      <c r="AA167" s="47"/>
      <c r="AB167" s="47"/>
      <c r="AC167" s="47"/>
      <c r="AD167" s="47"/>
      <c r="AE167" s="48">
        <v>11</v>
      </c>
    </row>
    <row r="168" spans="1:31" s="48" customFormat="1" ht="11.45" customHeight="1">
      <c r="A168" s="1"/>
      <c r="B168" s="3"/>
      <c r="C168" s="3"/>
      <c r="J168" s="2"/>
      <c r="K168" s="3"/>
      <c r="L168" s="3"/>
      <c r="M168" s="2"/>
      <c r="N168" s="2"/>
      <c r="O168" s="2"/>
      <c r="P168" s="2"/>
      <c r="Q168" s="3"/>
      <c r="R168" s="2"/>
      <c r="S168" s="2"/>
      <c r="T168" s="5"/>
      <c r="U168" s="2"/>
      <c r="V168" s="2"/>
      <c r="W168" s="2"/>
      <c r="X168" s="2"/>
      <c r="Y168" s="2"/>
      <c r="Z168" s="6"/>
      <c r="AA168" s="47"/>
      <c r="AB168" s="47"/>
      <c r="AC168" s="47"/>
      <c r="AD168" s="47"/>
      <c r="AE168" s="48">
        <v>11</v>
      </c>
    </row>
    <row r="169" spans="1:31" s="48" customFormat="1" ht="11.45" customHeight="1">
      <c r="A169" s="1"/>
      <c r="B169" s="3"/>
      <c r="C169" s="3"/>
      <c r="J169" s="2"/>
      <c r="K169" s="3"/>
      <c r="L169" s="3"/>
      <c r="M169" s="2"/>
      <c r="N169" s="2"/>
      <c r="O169" s="2"/>
      <c r="P169" s="2"/>
      <c r="Q169" s="3"/>
      <c r="R169" s="2"/>
      <c r="S169" s="2"/>
      <c r="T169" s="5"/>
      <c r="U169" s="2"/>
      <c r="V169" s="2"/>
      <c r="W169" s="2"/>
      <c r="X169" s="2"/>
      <c r="Y169" s="2"/>
      <c r="Z169" s="6"/>
      <c r="AA169" s="47"/>
      <c r="AB169" s="47"/>
      <c r="AC169" s="47"/>
      <c r="AD169" s="47"/>
      <c r="AE169" s="48">
        <v>11</v>
      </c>
    </row>
    <row r="170" spans="1:31" s="48" customFormat="1" ht="11.45" customHeight="1">
      <c r="A170" s="1"/>
      <c r="B170" s="3"/>
      <c r="C170" s="3"/>
      <c r="J170" s="2"/>
      <c r="K170" s="3"/>
      <c r="L170" s="3"/>
      <c r="M170" s="2"/>
      <c r="N170" s="2"/>
      <c r="O170" s="2"/>
      <c r="P170" s="2"/>
      <c r="Q170" s="3"/>
      <c r="R170" s="2"/>
      <c r="S170" s="2"/>
      <c r="T170" s="5"/>
      <c r="U170" s="2"/>
      <c r="V170" s="2"/>
      <c r="W170" s="2"/>
      <c r="X170" s="2"/>
      <c r="Y170" s="2"/>
      <c r="Z170" s="6"/>
      <c r="AA170" s="47"/>
      <c r="AB170" s="47"/>
      <c r="AC170" s="47"/>
      <c r="AD170" s="47"/>
      <c r="AE170" s="48">
        <v>11</v>
      </c>
    </row>
    <row r="171" spans="1:31" s="48" customFormat="1" ht="11.45" customHeight="1">
      <c r="A171" s="1"/>
      <c r="B171" s="3"/>
      <c r="C171" s="3"/>
      <c r="J171" s="2"/>
      <c r="K171" s="3"/>
      <c r="L171" s="3"/>
      <c r="M171" s="2"/>
      <c r="N171" s="2"/>
      <c r="O171" s="2"/>
      <c r="P171" s="2"/>
      <c r="Q171" s="3"/>
      <c r="R171" s="2"/>
      <c r="S171" s="2"/>
      <c r="T171" s="5"/>
      <c r="U171" s="2"/>
      <c r="V171" s="2"/>
      <c r="W171" s="2"/>
      <c r="X171" s="2"/>
      <c r="Y171" s="2"/>
      <c r="Z171" s="6"/>
      <c r="AA171" s="47"/>
      <c r="AB171" s="47"/>
      <c r="AC171" s="47"/>
      <c r="AD171" s="47"/>
      <c r="AE171" s="48">
        <v>11</v>
      </c>
    </row>
    <row r="172" spans="1:31" s="48" customFormat="1" ht="11.45" customHeight="1">
      <c r="A172" s="1"/>
      <c r="B172" s="3"/>
      <c r="C172" s="3"/>
      <c r="J172" s="2"/>
      <c r="K172" s="3"/>
      <c r="L172" s="3"/>
      <c r="M172" s="2"/>
      <c r="N172" s="2"/>
      <c r="O172" s="2"/>
      <c r="P172" s="2"/>
      <c r="Q172" s="3"/>
      <c r="R172" s="2"/>
      <c r="S172" s="2"/>
      <c r="T172" s="5"/>
      <c r="U172" s="2"/>
      <c r="V172" s="2"/>
      <c r="W172" s="2"/>
      <c r="X172" s="2"/>
      <c r="Y172" s="2"/>
      <c r="Z172" s="6"/>
      <c r="AA172" s="47"/>
      <c r="AB172" s="47"/>
      <c r="AC172" s="47"/>
      <c r="AD172" s="47"/>
      <c r="AE172" s="48">
        <v>11</v>
      </c>
    </row>
    <row r="173" spans="1:31" s="48" customFormat="1" ht="11.45" customHeight="1">
      <c r="A173" s="1"/>
      <c r="B173" s="3"/>
      <c r="C173" s="3"/>
      <c r="J173" s="2"/>
      <c r="K173" s="3"/>
      <c r="L173" s="3"/>
      <c r="M173" s="2"/>
      <c r="N173" s="2"/>
      <c r="O173" s="2"/>
      <c r="P173" s="2"/>
      <c r="Q173" s="3"/>
      <c r="R173" s="2"/>
      <c r="S173" s="2"/>
      <c r="T173" s="5"/>
      <c r="U173" s="2"/>
      <c r="V173" s="2"/>
      <c r="W173" s="2"/>
      <c r="X173" s="2"/>
      <c r="Y173" s="2"/>
      <c r="Z173" s="6"/>
      <c r="AA173" s="47"/>
      <c r="AB173" s="47"/>
      <c r="AC173" s="47"/>
      <c r="AD173" s="47"/>
      <c r="AE173" s="48">
        <v>11</v>
      </c>
    </row>
    <row r="174" spans="1:31" s="48" customFormat="1" ht="11.45" customHeight="1">
      <c r="A174" s="1"/>
      <c r="B174" s="3"/>
      <c r="C174" s="3"/>
      <c r="J174" s="2"/>
      <c r="K174" s="3"/>
      <c r="L174" s="3"/>
      <c r="M174" s="2"/>
      <c r="N174" s="2"/>
      <c r="O174" s="2"/>
      <c r="P174" s="2"/>
      <c r="Q174" s="3"/>
      <c r="R174" s="2"/>
      <c r="S174" s="2"/>
      <c r="T174" s="5"/>
      <c r="U174" s="2"/>
      <c r="V174" s="2"/>
      <c r="W174" s="2"/>
      <c r="X174" s="2"/>
      <c r="Y174" s="2"/>
      <c r="Z174" s="6"/>
      <c r="AA174" s="47"/>
      <c r="AB174" s="47"/>
      <c r="AC174" s="47"/>
      <c r="AD174" s="47"/>
      <c r="AE174" s="48">
        <v>11</v>
      </c>
    </row>
    <row r="175" spans="1:31" s="48" customFormat="1" ht="11.45" customHeight="1">
      <c r="A175" s="1"/>
      <c r="B175" s="3"/>
      <c r="C175" s="3"/>
      <c r="J175" s="2"/>
      <c r="K175" s="3"/>
      <c r="L175" s="3"/>
      <c r="M175" s="2"/>
      <c r="N175" s="2"/>
      <c r="O175" s="2"/>
      <c r="P175" s="2"/>
      <c r="Q175" s="3"/>
      <c r="R175" s="2"/>
      <c r="S175" s="2"/>
      <c r="T175" s="5"/>
      <c r="U175" s="2"/>
      <c r="V175" s="2"/>
      <c r="W175" s="2"/>
      <c r="X175" s="2"/>
      <c r="Y175" s="2"/>
      <c r="Z175" s="6"/>
      <c r="AA175" s="47"/>
      <c r="AB175" s="47"/>
      <c r="AC175" s="47"/>
      <c r="AD175" s="47"/>
      <c r="AE175" s="48">
        <v>11</v>
      </c>
    </row>
    <row r="176" spans="1:31" s="48" customFormat="1" ht="11.45" customHeight="1">
      <c r="A176" s="1"/>
      <c r="B176" s="3"/>
      <c r="C176" s="3"/>
      <c r="J176" s="2"/>
      <c r="K176" s="3"/>
      <c r="L176" s="3"/>
      <c r="M176" s="2"/>
      <c r="N176" s="2"/>
      <c r="O176" s="2"/>
      <c r="P176" s="2"/>
      <c r="Q176" s="3"/>
      <c r="R176" s="2"/>
      <c r="S176" s="2"/>
      <c r="T176" s="5"/>
      <c r="U176" s="2"/>
      <c r="V176" s="2"/>
      <c r="W176" s="2"/>
      <c r="X176" s="2"/>
      <c r="Y176" s="2"/>
      <c r="Z176" s="6"/>
      <c r="AA176" s="47"/>
      <c r="AB176" s="47"/>
      <c r="AC176" s="47"/>
      <c r="AD176" s="47"/>
      <c r="AE176" s="48">
        <v>11</v>
      </c>
    </row>
    <row r="177" spans="1:31" s="48" customFormat="1" ht="11.45" customHeight="1">
      <c r="A177" s="1"/>
      <c r="B177" s="3"/>
      <c r="C177" s="3"/>
      <c r="J177" s="2"/>
      <c r="K177" s="3"/>
      <c r="L177" s="3"/>
      <c r="M177" s="2"/>
      <c r="N177" s="2"/>
      <c r="O177" s="2"/>
      <c r="P177" s="2"/>
      <c r="Q177" s="3"/>
      <c r="R177" s="2"/>
      <c r="S177" s="2"/>
      <c r="T177" s="5"/>
      <c r="U177" s="2"/>
      <c r="V177" s="2"/>
      <c r="W177" s="2"/>
      <c r="X177" s="2"/>
      <c r="Y177" s="2"/>
      <c r="Z177" s="6"/>
      <c r="AA177" s="47"/>
      <c r="AB177" s="47"/>
      <c r="AC177" s="47"/>
      <c r="AD177" s="47"/>
      <c r="AE177" s="48">
        <v>11</v>
      </c>
    </row>
    <row r="178" spans="1:31" s="48" customFormat="1" ht="11.45" customHeight="1">
      <c r="A178" s="1"/>
      <c r="B178" s="3"/>
      <c r="C178" s="3"/>
      <c r="J178" s="2"/>
      <c r="K178" s="3"/>
      <c r="L178" s="3"/>
      <c r="M178" s="2"/>
      <c r="N178" s="2"/>
      <c r="O178" s="2"/>
      <c r="P178" s="2"/>
      <c r="Q178" s="3"/>
      <c r="R178" s="2"/>
      <c r="S178" s="2"/>
      <c r="T178" s="5"/>
      <c r="U178" s="2"/>
      <c r="V178" s="2"/>
      <c r="W178" s="2"/>
      <c r="X178" s="2"/>
      <c r="Y178" s="2"/>
      <c r="Z178" s="6"/>
      <c r="AA178" s="47"/>
      <c r="AB178" s="47"/>
      <c r="AC178" s="47"/>
      <c r="AD178" s="47"/>
      <c r="AE178" s="48">
        <v>11</v>
      </c>
    </row>
    <row r="179" spans="1:31" s="48" customFormat="1" ht="11.45" customHeight="1">
      <c r="A179" s="1"/>
      <c r="B179" s="3"/>
      <c r="C179" s="3"/>
      <c r="J179" s="2"/>
      <c r="K179" s="3"/>
      <c r="L179" s="3"/>
      <c r="M179" s="2"/>
      <c r="N179" s="2"/>
      <c r="O179" s="2"/>
      <c r="P179" s="2"/>
      <c r="Q179" s="3"/>
      <c r="R179" s="2"/>
      <c r="S179" s="2"/>
      <c r="T179" s="5"/>
      <c r="U179" s="2"/>
      <c r="V179" s="2"/>
      <c r="W179" s="2"/>
      <c r="X179" s="2"/>
      <c r="Y179" s="2"/>
      <c r="Z179" s="6"/>
      <c r="AA179" s="47"/>
      <c r="AB179" s="47"/>
      <c r="AC179" s="47"/>
      <c r="AD179" s="47"/>
      <c r="AE179" s="48">
        <v>11</v>
      </c>
    </row>
    <row r="180" spans="1:31" s="48" customFormat="1" ht="11.45" customHeight="1">
      <c r="A180" s="1"/>
      <c r="B180" s="3"/>
      <c r="C180" s="3"/>
      <c r="J180" s="2"/>
      <c r="K180" s="3"/>
      <c r="L180" s="3"/>
      <c r="M180" s="2"/>
      <c r="N180" s="2"/>
      <c r="O180" s="2"/>
      <c r="P180" s="2"/>
      <c r="Q180" s="3"/>
      <c r="R180" s="2"/>
      <c r="S180" s="2"/>
      <c r="T180" s="5"/>
      <c r="U180" s="2"/>
      <c r="V180" s="2"/>
      <c r="W180" s="2"/>
      <c r="X180" s="2"/>
      <c r="Y180" s="2"/>
      <c r="Z180" s="6"/>
      <c r="AA180" s="47"/>
      <c r="AB180" s="47"/>
      <c r="AC180" s="47"/>
      <c r="AD180" s="47"/>
      <c r="AE180" s="48">
        <v>11</v>
      </c>
    </row>
    <row r="181" spans="1:31" s="48" customFormat="1" ht="11.45" customHeight="1">
      <c r="A181" s="1"/>
      <c r="B181" s="3"/>
      <c r="C181" s="3"/>
      <c r="J181" s="2"/>
      <c r="K181" s="3"/>
      <c r="L181" s="3"/>
      <c r="M181" s="2"/>
      <c r="N181" s="2"/>
      <c r="O181" s="2"/>
      <c r="P181" s="2"/>
      <c r="Q181" s="3"/>
      <c r="R181" s="2"/>
      <c r="S181" s="2"/>
      <c r="T181" s="5"/>
      <c r="U181" s="2"/>
      <c r="V181" s="2"/>
      <c r="W181" s="2"/>
      <c r="X181" s="2"/>
      <c r="Y181" s="2"/>
      <c r="Z181" s="6"/>
      <c r="AA181" s="47"/>
      <c r="AB181" s="47"/>
      <c r="AC181" s="47"/>
      <c r="AD181" s="47"/>
      <c r="AE181" s="48">
        <v>11</v>
      </c>
    </row>
    <row r="182" spans="1:31" s="48" customFormat="1" ht="11.45" customHeight="1">
      <c r="A182" s="1"/>
      <c r="B182" s="3"/>
      <c r="C182" s="3"/>
      <c r="J182" s="2"/>
      <c r="K182" s="3"/>
      <c r="L182" s="3"/>
      <c r="M182" s="2"/>
      <c r="N182" s="2"/>
      <c r="O182" s="2"/>
      <c r="P182" s="2"/>
      <c r="Q182" s="3"/>
      <c r="R182" s="2"/>
      <c r="S182" s="2"/>
      <c r="T182" s="5"/>
      <c r="U182" s="2"/>
      <c r="V182" s="2"/>
      <c r="W182" s="2"/>
      <c r="X182" s="2"/>
      <c r="Y182" s="2"/>
      <c r="Z182" s="6"/>
      <c r="AA182" s="47"/>
      <c r="AB182" s="47"/>
      <c r="AC182" s="47"/>
      <c r="AD182" s="47"/>
      <c r="AE182" s="48">
        <v>11</v>
      </c>
    </row>
    <row r="183" spans="1:31" s="48" customFormat="1" ht="11.45" customHeight="1">
      <c r="A183" s="1"/>
      <c r="B183" s="3"/>
      <c r="C183" s="3"/>
      <c r="J183" s="2"/>
      <c r="K183" s="3"/>
      <c r="L183" s="3"/>
      <c r="M183" s="2"/>
      <c r="N183" s="2"/>
      <c r="O183" s="2"/>
      <c r="P183" s="2"/>
      <c r="Q183" s="3"/>
      <c r="R183" s="2"/>
      <c r="S183" s="2"/>
      <c r="T183" s="5"/>
      <c r="U183" s="2"/>
      <c r="V183" s="2"/>
      <c r="W183" s="2"/>
      <c r="X183" s="2"/>
      <c r="Y183" s="2"/>
      <c r="Z183" s="6"/>
      <c r="AA183" s="47"/>
      <c r="AB183" s="47"/>
      <c r="AC183" s="47"/>
      <c r="AD183" s="47"/>
      <c r="AE183" s="48">
        <v>11</v>
      </c>
    </row>
    <row r="184" spans="1:31" s="48" customFormat="1" ht="11.45" customHeight="1">
      <c r="A184" s="1"/>
      <c r="B184" s="3"/>
      <c r="C184" s="3"/>
      <c r="J184" s="2"/>
      <c r="K184" s="3"/>
      <c r="L184" s="3"/>
      <c r="M184" s="2"/>
      <c r="N184" s="2"/>
      <c r="O184" s="2"/>
      <c r="P184" s="2"/>
      <c r="Q184" s="3"/>
      <c r="R184" s="2"/>
      <c r="S184" s="2"/>
      <c r="T184" s="5"/>
      <c r="U184" s="2"/>
      <c r="V184" s="2"/>
      <c r="W184" s="2"/>
      <c r="X184" s="2"/>
      <c r="Y184" s="2"/>
      <c r="Z184" s="6"/>
      <c r="AA184" s="47"/>
      <c r="AB184" s="47"/>
      <c r="AC184" s="47"/>
      <c r="AD184" s="47"/>
      <c r="AE184" s="48">
        <v>11</v>
      </c>
    </row>
    <row r="185" spans="1:31" s="48" customFormat="1" ht="11.45" customHeight="1">
      <c r="A185" s="1"/>
      <c r="B185" s="3"/>
      <c r="C185" s="3"/>
      <c r="J185" s="2"/>
      <c r="K185" s="3"/>
      <c r="L185" s="3"/>
      <c r="M185" s="2"/>
      <c r="N185" s="2"/>
      <c r="O185" s="2"/>
      <c r="P185" s="2"/>
      <c r="Q185" s="3"/>
      <c r="R185" s="2"/>
      <c r="S185" s="2"/>
      <c r="T185" s="5"/>
      <c r="U185" s="2"/>
      <c r="V185" s="2"/>
      <c r="W185" s="2"/>
      <c r="X185" s="2"/>
      <c r="Y185" s="2"/>
      <c r="Z185" s="6"/>
      <c r="AA185" s="47"/>
      <c r="AB185" s="47"/>
      <c r="AC185" s="47"/>
      <c r="AD185" s="47"/>
      <c r="AE185" s="48">
        <v>11</v>
      </c>
    </row>
    <row r="186" spans="1:31" s="48" customFormat="1" ht="11.45" customHeight="1">
      <c r="A186" s="1"/>
      <c r="B186" s="3"/>
      <c r="C186" s="3"/>
      <c r="J186" s="2"/>
      <c r="K186" s="3"/>
      <c r="L186" s="3"/>
      <c r="M186" s="2"/>
      <c r="N186" s="2"/>
      <c r="O186" s="2"/>
      <c r="P186" s="2"/>
      <c r="Q186" s="3"/>
      <c r="R186" s="2"/>
      <c r="S186" s="2"/>
      <c r="T186" s="5"/>
      <c r="U186" s="2"/>
      <c r="V186" s="2"/>
      <c r="W186" s="2"/>
      <c r="X186" s="2"/>
      <c r="Y186" s="2"/>
      <c r="Z186" s="6"/>
      <c r="AA186" s="47"/>
      <c r="AB186" s="47"/>
      <c r="AC186" s="47"/>
      <c r="AD186" s="47"/>
      <c r="AE186" s="48">
        <v>11</v>
      </c>
    </row>
    <row r="187" spans="1:31" s="48" customFormat="1" ht="11.45" customHeight="1">
      <c r="A187" s="1"/>
      <c r="B187" s="3"/>
      <c r="C187" s="3"/>
      <c r="J187" s="2"/>
      <c r="K187" s="3"/>
      <c r="L187" s="3"/>
      <c r="M187" s="2"/>
      <c r="N187" s="2"/>
      <c r="O187" s="2"/>
      <c r="P187" s="2"/>
      <c r="Q187" s="3"/>
      <c r="R187" s="2"/>
      <c r="S187" s="2"/>
      <c r="T187" s="5"/>
      <c r="U187" s="2"/>
      <c r="V187" s="2"/>
      <c r="W187" s="2"/>
      <c r="X187" s="2"/>
      <c r="Y187" s="2"/>
      <c r="Z187" s="6"/>
      <c r="AA187" s="47"/>
      <c r="AB187" s="47"/>
      <c r="AC187" s="47"/>
      <c r="AD187" s="47"/>
      <c r="AE187" s="48">
        <v>11</v>
      </c>
    </row>
    <row r="188" spans="1:31" s="48" customFormat="1" ht="11.45" customHeight="1">
      <c r="A188" s="1"/>
      <c r="B188" s="3"/>
      <c r="C188" s="3"/>
      <c r="J188" s="2"/>
      <c r="K188" s="3"/>
      <c r="L188" s="3"/>
      <c r="M188" s="2"/>
      <c r="N188" s="2"/>
      <c r="O188" s="2"/>
      <c r="P188" s="2"/>
      <c r="Q188" s="3"/>
      <c r="R188" s="2"/>
      <c r="S188" s="2"/>
      <c r="T188" s="5"/>
      <c r="U188" s="2"/>
      <c r="V188" s="2"/>
      <c r="W188" s="2"/>
      <c r="X188" s="2"/>
      <c r="Y188" s="2"/>
      <c r="Z188" s="6"/>
      <c r="AA188" s="47"/>
      <c r="AB188" s="47"/>
      <c r="AC188" s="47"/>
      <c r="AD188" s="47"/>
      <c r="AE188" s="48">
        <v>11</v>
      </c>
    </row>
    <row r="189" spans="1:31" s="48" customFormat="1" ht="11.45" customHeight="1">
      <c r="A189" s="1"/>
      <c r="B189" s="3"/>
      <c r="C189" s="3"/>
      <c r="J189" s="2"/>
      <c r="K189" s="3"/>
      <c r="L189" s="3"/>
      <c r="M189" s="2"/>
      <c r="N189" s="2"/>
      <c r="O189" s="2"/>
      <c r="P189" s="2"/>
      <c r="Q189" s="3"/>
      <c r="R189" s="2"/>
      <c r="S189" s="2"/>
      <c r="T189" s="5"/>
      <c r="U189" s="2"/>
      <c r="V189" s="2"/>
      <c r="W189" s="2"/>
      <c r="X189" s="2"/>
      <c r="Y189" s="2"/>
      <c r="Z189" s="6"/>
      <c r="AA189" s="47"/>
      <c r="AB189" s="47"/>
      <c r="AC189" s="47"/>
      <c r="AD189" s="47"/>
      <c r="AE189" s="48">
        <v>11</v>
      </c>
    </row>
    <row r="190" spans="1:31" s="48" customFormat="1" ht="11.45" customHeight="1">
      <c r="A190" s="1"/>
      <c r="B190" s="3"/>
      <c r="C190" s="3"/>
      <c r="J190" s="2"/>
      <c r="K190" s="3"/>
      <c r="L190" s="3"/>
      <c r="M190" s="2"/>
      <c r="N190" s="2"/>
      <c r="O190" s="2"/>
      <c r="P190" s="2"/>
      <c r="Q190" s="3"/>
      <c r="R190" s="2"/>
      <c r="S190" s="2"/>
      <c r="T190" s="5"/>
      <c r="U190" s="2"/>
      <c r="V190" s="2"/>
      <c r="W190" s="2"/>
      <c r="X190" s="2"/>
      <c r="Y190" s="2"/>
      <c r="Z190" s="6"/>
      <c r="AA190" s="47"/>
      <c r="AB190" s="47"/>
      <c r="AC190" s="47"/>
      <c r="AD190" s="47"/>
      <c r="AE190" s="48">
        <v>11</v>
      </c>
    </row>
    <row r="191" spans="1:31" s="48" customFormat="1" ht="11.45" customHeight="1">
      <c r="A191" s="1"/>
      <c r="B191" s="3"/>
      <c r="C191" s="3"/>
      <c r="J191" s="2"/>
      <c r="K191" s="3"/>
      <c r="L191" s="3"/>
      <c r="M191" s="2"/>
      <c r="N191" s="2"/>
      <c r="O191" s="2"/>
      <c r="P191" s="2"/>
      <c r="Q191" s="3"/>
      <c r="R191" s="2"/>
      <c r="S191" s="2"/>
      <c r="T191" s="5"/>
      <c r="U191" s="2"/>
      <c r="V191" s="2"/>
      <c r="W191" s="2"/>
      <c r="X191" s="2"/>
      <c r="Y191" s="2"/>
      <c r="Z191" s="6"/>
      <c r="AA191" s="47"/>
      <c r="AB191" s="47"/>
      <c r="AC191" s="47"/>
      <c r="AD191" s="47"/>
      <c r="AE191" s="48">
        <v>11</v>
      </c>
    </row>
    <row r="192" spans="1:31" s="48" customFormat="1" ht="11.45" customHeight="1">
      <c r="A192" s="1"/>
      <c r="B192" s="3"/>
      <c r="C192" s="3"/>
      <c r="J192" s="2"/>
      <c r="K192" s="3"/>
      <c r="L192" s="3"/>
      <c r="M192" s="2"/>
      <c r="N192" s="2"/>
      <c r="O192" s="2"/>
      <c r="P192" s="2"/>
      <c r="Q192" s="3"/>
      <c r="R192" s="2"/>
      <c r="S192" s="2"/>
      <c r="T192" s="5"/>
      <c r="U192" s="2"/>
      <c r="V192" s="2"/>
      <c r="W192" s="2"/>
      <c r="X192" s="2"/>
      <c r="Y192" s="2"/>
      <c r="Z192" s="6"/>
      <c r="AA192" s="47"/>
      <c r="AB192" s="47"/>
      <c r="AC192" s="47"/>
      <c r="AD192" s="47"/>
      <c r="AE192" s="48">
        <v>11</v>
      </c>
    </row>
    <row r="193" spans="1:31" s="48" customFormat="1" ht="11.45" customHeight="1">
      <c r="A193" s="1"/>
      <c r="B193" s="3"/>
      <c r="C193" s="3"/>
      <c r="J193" s="2"/>
      <c r="K193" s="3"/>
      <c r="L193" s="3"/>
      <c r="M193" s="2"/>
      <c r="N193" s="2"/>
      <c r="O193" s="2"/>
      <c r="P193" s="2"/>
      <c r="Q193" s="3"/>
      <c r="R193" s="2"/>
      <c r="S193" s="2"/>
      <c r="T193" s="5"/>
      <c r="U193" s="2"/>
      <c r="V193" s="2"/>
      <c r="W193" s="2"/>
      <c r="X193" s="2"/>
      <c r="Y193" s="2"/>
      <c r="Z193" s="6"/>
      <c r="AA193" s="47"/>
      <c r="AB193" s="47"/>
      <c r="AC193" s="47"/>
      <c r="AD193" s="47"/>
      <c r="AE193" s="48">
        <v>11</v>
      </c>
    </row>
    <row r="194" spans="1:31" s="48" customFormat="1" ht="11.45" customHeight="1">
      <c r="A194" s="1"/>
      <c r="B194" s="3"/>
      <c r="C194" s="3"/>
      <c r="J194" s="2"/>
      <c r="K194" s="3"/>
      <c r="L194" s="3"/>
      <c r="M194" s="2"/>
      <c r="N194" s="2"/>
      <c r="O194" s="2"/>
      <c r="P194" s="2"/>
      <c r="Q194" s="3"/>
      <c r="R194" s="2"/>
      <c r="S194" s="2"/>
      <c r="T194" s="5"/>
      <c r="U194" s="2"/>
      <c r="V194" s="2"/>
      <c r="W194" s="2"/>
      <c r="X194" s="2"/>
      <c r="Y194" s="2"/>
      <c r="Z194" s="6"/>
      <c r="AA194" s="47"/>
      <c r="AB194" s="47"/>
      <c r="AC194" s="47"/>
      <c r="AD194" s="47"/>
      <c r="AE194" s="48">
        <v>11</v>
      </c>
    </row>
    <row r="195" spans="1:31" s="48" customFormat="1" ht="11.45" customHeight="1">
      <c r="A195" s="1"/>
      <c r="B195" s="3"/>
      <c r="C195" s="3"/>
      <c r="J195" s="2"/>
      <c r="K195" s="3"/>
      <c r="L195" s="3"/>
      <c r="M195" s="2"/>
      <c r="N195" s="2"/>
      <c r="O195" s="2"/>
      <c r="P195" s="2"/>
      <c r="Q195" s="3"/>
      <c r="R195" s="2"/>
      <c r="S195" s="2"/>
      <c r="T195" s="5"/>
      <c r="U195" s="2"/>
      <c r="V195" s="2"/>
      <c r="W195" s="2"/>
      <c r="X195" s="2"/>
      <c r="Y195" s="2"/>
      <c r="Z195" s="6"/>
      <c r="AA195" s="47"/>
      <c r="AB195" s="47"/>
      <c r="AC195" s="47"/>
      <c r="AD195" s="47"/>
      <c r="AE195" s="48">
        <v>11</v>
      </c>
    </row>
    <row r="196" spans="1:31" s="48" customFormat="1" ht="11.45" customHeight="1">
      <c r="A196" s="1"/>
      <c r="B196" s="3"/>
      <c r="C196" s="3"/>
      <c r="J196" s="2"/>
      <c r="K196" s="3"/>
      <c r="L196" s="3"/>
      <c r="M196" s="2"/>
      <c r="N196" s="2"/>
      <c r="O196" s="2"/>
      <c r="P196" s="2"/>
      <c r="Q196" s="3"/>
      <c r="R196" s="2"/>
      <c r="S196" s="2"/>
      <c r="T196" s="5"/>
      <c r="U196" s="2"/>
      <c r="V196" s="2"/>
      <c r="W196" s="2"/>
      <c r="X196" s="2"/>
      <c r="Y196" s="2"/>
      <c r="Z196" s="6"/>
      <c r="AA196" s="47"/>
      <c r="AB196" s="47"/>
      <c r="AC196" s="47"/>
      <c r="AD196" s="47"/>
      <c r="AE196" s="48">
        <v>11</v>
      </c>
    </row>
    <row r="197" spans="1:31" s="48" customFormat="1" ht="11.45" customHeight="1">
      <c r="A197" s="1"/>
      <c r="B197" s="3"/>
      <c r="C197" s="3"/>
      <c r="J197" s="2"/>
      <c r="K197" s="3"/>
      <c r="L197" s="3"/>
      <c r="M197" s="2"/>
      <c r="N197" s="2"/>
      <c r="O197" s="2"/>
      <c r="P197" s="2"/>
      <c r="Q197" s="3"/>
      <c r="R197" s="2"/>
      <c r="S197" s="2"/>
      <c r="T197" s="5"/>
      <c r="U197" s="2"/>
      <c r="V197" s="2"/>
      <c r="W197" s="2"/>
      <c r="X197" s="2"/>
      <c r="Y197" s="2"/>
      <c r="Z197" s="6"/>
      <c r="AA197" s="47"/>
      <c r="AB197" s="47"/>
      <c r="AC197" s="47"/>
      <c r="AD197" s="47"/>
      <c r="AE197" s="48">
        <v>11</v>
      </c>
    </row>
    <row r="198" spans="1:31" s="48" customFormat="1" ht="11.45" customHeight="1">
      <c r="A198" s="1"/>
      <c r="B198" s="3"/>
      <c r="C198" s="3"/>
      <c r="J198" s="2"/>
      <c r="K198" s="3"/>
      <c r="L198" s="3"/>
      <c r="M198" s="2"/>
      <c r="N198" s="2"/>
      <c r="O198" s="2"/>
      <c r="P198" s="2"/>
      <c r="Q198" s="3"/>
      <c r="R198" s="2"/>
      <c r="S198" s="2"/>
      <c r="T198" s="5"/>
      <c r="U198" s="2"/>
      <c r="V198" s="2"/>
      <c r="W198" s="2"/>
      <c r="X198" s="2"/>
      <c r="Y198" s="2"/>
      <c r="Z198" s="6"/>
      <c r="AA198" s="47"/>
      <c r="AB198" s="47"/>
      <c r="AC198" s="47"/>
      <c r="AD198" s="47"/>
      <c r="AE198" s="48">
        <v>11</v>
      </c>
    </row>
    <row r="199" spans="1:31" s="48" customFormat="1" ht="11.45" customHeight="1">
      <c r="A199" s="1"/>
      <c r="B199" s="3"/>
      <c r="C199" s="3"/>
      <c r="J199" s="2"/>
      <c r="K199" s="3"/>
      <c r="L199" s="3"/>
      <c r="M199" s="2"/>
      <c r="N199" s="2"/>
      <c r="O199" s="2"/>
      <c r="P199" s="2"/>
      <c r="Q199" s="3"/>
      <c r="R199" s="2"/>
      <c r="S199" s="2"/>
      <c r="T199" s="5"/>
      <c r="U199" s="2"/>
      <c r="V199" s="2"/>
      <c r="W199" s="2"/>
      <c r="X199" s="2"/>
      <c r="Y199" s="2"/>
      <c r="Z199" s="6"/>
      <c r="AA199" s="47"/>
      <c r="AB199" s="47"/>
      <c r="AC199" s="47"/>
      <c r="AD199" s="47"/>
      <c r="AE199" s="48">
        <v>11</v>
      </c>
    </row>
    <row r="200" spans="1:31" s="48" customFormat="1" ht="11.45" customHeight="1">
      <c r="A200" s="1"/>
      <c r="B200" s="3"/>
      <c r="C200" s="3"/>
      <c r="J200" s="2"/>
      <c r="K200" s="3"/>
      <c r="L200" s="3"/>
      <c r="M200" s="2"/>
      <c r="N200" s="2"/>
      <c r="O200" s="2"/>
      <c r="P200" s="2"/>
      <c r="Q200" s="3"/>
      <c r="R200" s="2"/>
      <c r="S200" s="2"/>
      <c r="T200" s="5"/>
      <c r="U200" s="2"/>
      <c r="V200" s="2"/>
      <c r="W200" s="2"/>
      <c r="X200" s="2"/>
      <c r="Y200" s="2"/>
      <c r="Z200" s="6"/>
      <c r="AA200" s="47"/>
      <c r="AB200" s="47"/>
      <c r="AC200" s="47"/>
      <c r="AD200" s="47"/>
      <c r="AE200" s="48">
        <v>11</v>
      </c>
    </row>
    <row r="201" spans="1:31" s="48" customFormat="1" ht="11.45" customHeight="1">
      <c r="A201" s="1"/>
      <c r="B201" s="3"/>
      <c r="C201" s="3"/>
      <c r="J201" s="2"/>
      <c r="K201" s="3"/>
      <c r="L201" s="3"/>
      <c r="M201" s="2"/>
      <c r="N201" s="2"/>
      <c r="O201" s="2"/>
      <c r="P201" s="2"/>
      <c r="Q201" s="3"/>
      <c r="R201" s="2"/>
      <c r="S201" s="2"/>
      <c r="T201" s="5"/>
      <c r="U201" s="2"/>
      <c r="V201" s="2"/>
      <c r="W201" s="2"/>
      <c r="X201" s="2"/>
      <c r="Y201" s="2"/>
      <c r="Z201" s="6"/>
      <c r="AA201" s="47"/>
      <c r="AB201" s="47"/>
      <c r="AC201" s="47"/>
      <c r="AD201" s="47"/>
      <c r="AE201" s="48">
        <v>11</v>
      </c>
    </row>
    <row r="202" spans="1:31" s="48" customFormat="1" ht="11.45" customHeight="1">
      <c r="A202" s="1"/>
      <c r="B202" s="3"/>
      <c r="C202" s="3"/>
      <c r="J202" s="2"/>
      <c r="K202" s="3"/>
      <c r="L202" s="3"/>
      <c r="M202" s="2"/>
      <c r="N202" s="2"/>
      <c r="O202" s="2"/>
      <c r="P202" s="2"/>
      <c r="Q202" s="3"/>
      <c r="R202" s="2"/>
      <c r="S202" s="2"/>
      <c r="T202" s="5"/>
      <c r="U202" s="2"/>
      <c r="V202" s="2"/>
      <c r="W202" s="2"/>
      <c r="X202" s="2"/>
      <c r="Y202" s="2"/>
      <c r="Z202" s="6"/>
      <c r="AA202" s="47"/>
      <c r="AB202" s="47"/>
      <c r="AC202" s="47"/>
      <c r="AD202" s="47"/>
      <c r="AE202" s="48">
        <v>11</v>
      </c>
    </row>
    <row r="203" spans="1:31" s="48" customFormat="1" ht="11.45" customHeight="1">
      <c r="A203" s="1"/>
      <c r="B203" s="3"/>
      <c r="C203" s="3"/>
      <c r="J203" s="2"/>
      <c r="K203" s="3"/>
      <c r="L203" s="3"/>
      <c r="M203" s="2"/>
      <c r="N203" s="2"/>
      <c r="O203" s="2"/>
      <c r="P203" s="2"/>
      <c r="Q203" s="3"/>
      <c r="R203" s="2"/>
      <c r="S203" s="2"/>
      <c r="T203" s="5"/>
      <c r="U203" s="2"/>
      <c r="V203" s="2"/>
      <c r="W203" s="2"/>
      <c r="X203" s="2"/>
      <c r="Y203" s="2"/>
      <c r="Z203" s="6"/>
      <c r="AA203" s="47"/>
      <c r="AB203" s="47"/>
      <c r="AC203" s="47"/>
      <c r="AD203" s="47"/>
      <c r="AE203" s="48">
        <v>11</v>
      </c>
    </row>
    <row r="204" spans="1:31" s="48" customFormat="1" ht="11.45" customHeight="1">
      <c r="A204" s="1"/>
      <c r="B204" s="3"/>
      <c r="C204" s="3"/>
      <c r="J204" s="2"/>
      <c r="K204" s="3"/>
      <c r="L204" s="3"/>
      <c r="M204" s="2"/>
      <c r="N204" s="2"/>
      <c r="O204" s="2"/>
      <c r="P204" s="2"/>
      <c r="Q204" s="3"/>
      <c r="R204" s="2"/>
      <c r="S204" s="2"/>
      <c r="T204" s="5"/>
      <c r="U204" s="2"/>
      <c r="V204" s="2"/>
      <c r="W204" s="2"/>
      <c r="X204" s="2"/>
      <c r="Y204" s="2"/>
      <c r="Z204" s="6"/>
      <c r="AA204" s="47"/>
      <c r="AB204" s="47"/>
      <c r="AC204" s="47"/>
      <c r="AD204" s="47"/>
      <c r="AE204" s="48">
        <v>11</v>
      </c>
    </row>
    <row r="205" spans="1:31" s="48" customFormat="1" ht="11.45" customHeight="1">
      <c r="A205" s="1"/>
      <c r="B205" s="3"/>
      <c r="C205" s="3"/>
      <c r="J205" s="2"/>
      <c r="K205" s="3"/>
      <c r="L205" s="3"/>
      <c r="M205" s="2"/>
      <c r="N205" s="2"/>
      <c r="O205" s="2"/>
      <c r="P205" s="2"/>
      <c r="Q205" s="3"/>
      <c r="R205" s="2"/>
      <c r="S205" s="2"/>
      <c r="T205" s="5"/>
      <c r="U205" s="2"/>
      <c r="V205" s="2"/>
      <c r="W205" s="2"/>
      <c r="X205" s="2"/>
      <c r="Y205" s="2"/>
      <c r="Z205" s="6"/>
      <c r="AA205" s="47"/>
      <c r="AB205" s="47"/>
      <c r="AC205" s="47"/>
      <c r="AD205" s="47"/>
      <c r="AE205" s="48">
        <v>11</v>
      </c>
    </row>
    <row r="206" spans="1:31" s="48" customFormat="1" ht="11.45" customHeight="1">
      <c r="A206" s="1"/>
      <c r="B206" s="3"/>
      <c r="C206" s="3"/>
      <c r="J206" s="2"/>
      <c r="K206" s="3"/>
      <c r="L206" s="3"/>
      <c r="M206" s="2"/>
      <c r="N206" s="2"/>
      <c r="O206" s="2"/>
      <c r="P206" s="2"/>
      <c r="Q206" s="3"/>
      <c r="R206" s="2"/>
      <c r="S206" s="2"/>
      <c r="T206" s="5"/>
      <c r="U206" s="2"/>
      <c r="V206" s="2"/>
      <c r="W206" s="2"/>
      <c r="X206" s="2"/>
      <c r="Y206" s="2"/>
      <c r="Z206" s="6"/>
      <c r="AA206" s="47"/>
      <c r="AB206" s="47"/>
      <c r="AC206" s="47"/>
      <c r="AD206" s="47"/>
      <c r="AE206" s="48">
        <v>11</v>
      </c>
    </row>
    <row r="207" spans="1:31" s="48" customFormat="1" ht="11.45" customHeight="1">
      <c r="A207" s="1"/>
      <c r="B207" s="3"/>
      <c r="C207" s="3"/>
      <c r="J207" s="2"/>
      <c r="K207" s="3"/>
      <c r="L207" s="3"/>
      <c r="M207" s="2"/>
      <c r="N207" s="2"/>
      <c r="O207" s="2"/>
      <c r="P207" s="2"/>
      <c r="Q207" s="3"/>
      <c r="R207" s="2"/>
      <c r="S207" s="2"/>
      <c r="T207" s="5"/>
      <c r="U207" s="2"/>
      <c r="V207" s="2"/>
      <c r="W207" s="2"/>
      <c r="X207" s="2"/>
      <c r="Y207" s="2"/>
      <c r="Z207" s="6"/>
      <c r="AA207" s="47"/>
      <c r="AB207" s="47"/>
      <c r="AC207" s="47"/>
      <c r="AD207" s="47"/>
      <c r="AE207" s="48">
        <v>11</v>
      </c>
    </row>
    <row r="208" spans="1:31" s="48" customFormat="1" ht="11.45" customHeight="1">
      <c r="A208" s="1"/>
      <c r="B208" s="3"/>
      <c r="C208" s="3"/>
      <c r="J208" s="2"/>
      <c r="K208" s="3"/>
      <c r="L208" s="3"/>
      <c r="M208" s="2"/>
      <c r="N208" s="2"/>
      <c r="O208" s="2"/>
      <c r="P208" s="2"/>
      <c r="Q208" s="3"/>
      <c r="R208" s="2"/>
      <c r="S208" s="2"/>
      <c r="T208" s="5"/>
      <c r="U208" s="2"/>
      <c r="V208" s="2"/>
      <c r="W208" s="2"/>
      <c r="X208" s="2"/>
      <c r="Y208" s="2"/>
      <c r="Z208" s="6"/>
      <c r="AA208" s="47"/>
      <c r="AB208" s="47"/>
      <c r="AC208" s="47"/>
      <c r="AD208" s="47"/>
      <c r="AE208" s="48">
        <v>11</v>
      </c>
    </row>
    <row r="209" spans="1:31" s="48" customFormat="1" ht="11.45" customHeight="1">
      <c r="A209" s="1"/>
      <c r="B209" s="3"/>
      <c r="C209" s="3"/>
      <c r="J209" s="2"/>
      <c r="K209" s="3"/>
      <c r="L209" s="3"/>
      <c r="M209" s="2"/>
      <c r="N209" s="2"/>
      <c r="O209" s="2"/>
      <c r="P209" s="2"/>
      <c r="Q209" s="3"/>
      <c r="R209" s="2"/>
      <c r="S209" s="2"/>
      <c r="T209" s="5"/>
      <c r="U209" s="2"/>
      <c r="V209" s="2"/>
      <c r="W209" s="2"/>
      <c r="X209" s="2"/>
      <c r="Y209" s="2"/>
      <c r="Z209" s="6"/>
      <c r="AA209" s="47"/>
      <c r="AB209" s="47"/>
      <c r="AC209" s="47"/>
      <c r="AD209" s="47"/>
      <c r="AE209" s="48">
        <v>11</v>
      </c>
    </row>
    <row r="210" spans="1:31" s="48" customFormat="1" ht="11.45" customHeight="1">
      <c r="A210" s="1"/>
      <c r="B210" s="3"/>
      <c r="C210" s="3"/>
      <c r="J210" s="2"/>
      <c r="K210" s="3"/>
      <c r="L210" s="3"/>
      <c r="M210" s="2"/>
      <c r="N210" s="2"/>
      <c r="O210" s="2"/>
      <c r="P210" s="2"/>
      <c r="Q210" s="3"/>
      <c r="R210" s="2"/>
      <c r="S210" s="2"/>
      <c r="T210" s="5"/>
      <c r="U210" s="2"/>
      <c r="V210" s="2"/>
      <c r="W210" s="2"/>
      <c r="X210" s="2"/>
      <c r="Y210" s="2"/>
      <c r="Z210" s="6"/>
      <c r="AA210" s="47"/>
      <c r="AB210" s="47"/>
      <c r="AC210" s="47"/>
      <c r="AD210" s="47"/>
      <c r="AE210" s="48">
        <v>11</v>
      </c>
    </row>
    <row r="211" spans="1:31" s="48" customFormat="1" ht="11.45" customHeight="1">
      <c r="A211" s="1"/>
      <c r="B211" s="3"/>
      <c r="C211" s="3"/>
      <c r="J211" s="2"/>
      <c r="K211" s="3"/>
      <c r="L211" s="3"/>
      <c r="M211" s="2"/>
      <c r="N211" s="2"/>
      <c r="O211" s="2"/>
      <c r="P211" s="2"/>
      <c r="Q211" s="3"/>
      <c r="R211" s="2"/>
      <c r="S211" s="2"/>
      <c r="T211" s="5"/>
      <c r="U211" s="2"/>
      <c r="V211" s="2"/>
      <c r="W211" s="2"/>
      <c r="X211" s="2"/>
      <c r="Y211" s="2"/>
      <c r="Z211" s="6"/>
      <c r="AA211" s="47"/>
      <c r="AB211" s="47"/>
      <c r="AC211" s="47"/>
      <c r="AD211" s="47"/>
      <c r="AE211" s="48">
        <v>11</v>
      </c>
    </row>
    <row r="212" spans="1:31" s="48" customFormat="1" ht="11.45" customHeight="1">
      <c r="A212" s="1"/>
      <c r="B212" s="3"/>
      <c r="C212" s="3"/>
      <c r="J212" s="2"/>
      <c r="K212" s="3"/>
      <c r="L212" s="3"/>
      <c r="M212" s="2"/>
      <c r="N212" s="2"/>
      <c r="O212" s="2"/>
      <c r="P212" s="2"/>
      <c r="Q212" s="3"/>
      <c r="R212" s="2"/>
      <c r="S212" s="2"/>
      <c r="T212" s="5"/>
      <c r="U212" s="2"/>
      <c r="V212" s="2"/>
      <c r="W212" s="2"/>
      <c r="X212" s="2"/>
      <c r="Y212" s="2"/>
      <c r="Z212" s="6"/>
      <c r="AA212" s="47"/>
      <c r="AB212" s="47"/>
      <c r="AC212" s="47"/>
      <c r="AD212" s="47"/>
      <c r="AE212" s="48">
        <v>11</v>
      </c>
    </row>
    <row r="213" spans="1:31" s="48" customFormat="1" ht="11.45" customHeight="1">
      <c r="A213" s="1"/>
      <c r="B213" s="3"/>
      <c r="C213" s="3"/>
      <c r="J213" s="2"/>
      <c r="K213" s="3"/>
      <c r="L213" s="3"/>
      <c r="M213" s="2"/>
      <c r="N213" s="2"/>
      <c r="O213" s="2"/>
      <c r="P213" s="2"/>
      <c r="Q213" s="3"/>
      <c r="R213" s="2"/>
      <c r="S213" s="2"/>
      <c r="T213" s="5"/>
      <c r="U213" s="2"/>
      <c r="V213" s="2"/>
      <c r="W213" s="2"/>
      <c r="X213" s="2"/>
      <c r="Y213" s="2"/>
      <c r="Z213" s="6"/>
      <c r="AA213" s="47"/>
      <c r="AB213" s="47"/>
      <c r="AC213" s="47"/>
      <c r="AD213" s="47"/>
      <c r="AE213" s="48">
        <v>11</v>
      </c>
    </row>
    <row r="214" spans="1:31" s="48" customFormat="1" ht="11.45" customHeight="1">
      <c r="A214" s="1"/>
      <c r="B214" s="3"/>
      <c r="C214" s="3"/>
      <c r="J214" s="2"/>
      <c r="K214" s="3"/>
      <c r="L214" s="3"/>
      <c r="M214" s="2"/>
      <c r="N214" s="2"/>
      <c r="O214" s="2"/>
      <c r="P214" s="2"/>
      <c r="Q214" s="3"/>
      <c r="R214" s="2"/>
      <c r="S214" s="2"/>
      <c r="T214" s="5"/>
      <c r="U214" s="2"/>
      <c r="V214" s="2"/>
      <c r="W214" s="2"/>
      <c r="X214" s="2"/>
      <c r="Y214" s="2"/>
      <c r="Z214" s="6"/>
      <c r="AA214" s="47"/>
      <c r="AB214" s="47"/>
      <c r="AC214" s="47"/>
      <c r="AD214" s="47"/>
      <c r="AE214" s="48">
        <v>11</v>
      </c>
    </row>
    <row r="215" spans="1:31" s="48" customFormat="1" ht="11.45" customHeight="1">
      <c r="A215" s="1"/>
      <c r="B215" s="3"/>
      <c r="C215" s="3"/>
      <c r="J215" s="2"/>
      <c r="K215" s="3"/>
      <c r="L215" s="3"/>
      <c r="M215" s="2"/>
      <c r="N215" s="2"/>
      <c r="O215" s="2"/>
      <c r="P215" s="2"/>
      <c r="Q215" s="3"/>
      <c r="R215" s="2"/>
      <c r="S215" s="2"/>
      <c r="T215" s="5"/>
      <c r="U215" s="2"/>
      <c r="V215" s="2"/>
      <c r="W215" s="2"/>
      <c r="X215" s="2"/>
      <c r="Y215" s="2"/>
      <c r="Z215" s="6"/>
      <c r="AA215" s="47"/>
      <c r="AB215" s="47"/>
      <c r="AC215" s="47"/>
      <c r="AD215" s="47"/>
      <c r="AE215" s="48">
        <v>11</v>
      </c>
    </row>
    <row r="216" spans="1:31" s="48" customFormat="1" ht="11.45" customHeight="1">
      <c r="A216" s="1"/>
      <c r="B216" s="3"/>
      <c r="C216" s="3"/>
      <c r="J216" s="2"/>
      <c r="K216" s="3"/>
      <c r="L216" s="3"/>
      <c r="M216" s="2"/>
      <c r="N216" s="2"/>
      <c r="O216" s="2"/>
      <c r="P216" s="2"/>
      <c r="Q216" s="3"/>
      <c r="R216" s="2"/>
      <c r="S216" s="2"/>
      <c r="T216" s="5"/>
      <c r="U216" s="2"/>
      <c r="V216" s="2"/>
      <c r="W216" s="2"/>
      <c r="X216" s="2"/>
      <c r="Y216" s="2"/>
      <c r="Z216" s="6"/>
      <c r="AA216" s="47"/>
      <c r="AB216" s="47"/>
      <c r="AC216" s="47"/>
      <c r="AD216" s="47"/>
      <c r="AE216" s="48">
        <v>11</v>
      </c>
    </row>
    <row r="217" spans="1:31" s="48" customFormat="1" ht="11.45" customHeight="1">
      <c r="A217" s="1"/>
      <c r="B217" s="3"/>
      <c r="C217" s="3"/>
      <c r="J217" s="2"/>
      <c r="K217" s="3"/>
      <c r="L217" s="3"/>
      <c r="M217" s="2"/>
      <c r="N217" s="2"/>
      <c r="O217" s="2"/>
      <c r="P217" s="2"/>
      <c r="Q217" s="3"/>
      <c r="R217" s="2"/>
      <c r="S217" s="2"/>
      <c r="T217" s="5"/>
      <c r="U217" s="2"/>
      <c r="V217" s="2"/>
      <c r="W217" s="2"/>
      <c r="X217" s="2"/>
      <c r="Y217" s="2"/>
      <c r="Z217" s="6"/>
      <c r="AA217" s="47"/>
      <c r="AB217" s="47"/>
      <c r="AC217" s="47"/>
      <c r="AD217" s="47"/>
      <c r="AE217" s="48">
        <v>11</v>
      </c>
    </row>
    <row r="218" spans="1:31" s="48" customFormat="1" ht="11.45" customHeight="1">
      <c r="A218" s="1"/>
      <c r="B218" s="3"/>
      <c r="C218" s="3"/>
      <c r="J218" s="2"/>
      <c r="K218" s="3"/>
      <c r="L218" s="3"/>
      <c r="M218" s="2"/>
      <c r="N218" s="2"/>
      <c r="O218" s="2"/>
      <c r="P218" s="2"/>
      <c r="Q218" s="3"/>
      <c r="R218" s="2"/>
      <c r="S218" s="2"/>
      <c r="T218" s="5"/>
      <c r="U218" s="2"/>
      <c r="V218" s="2"/>
      <c r="W218" s="2"/>
      <c r="X218" s="2"/>
      <c r="Y218" s="2"/>
      <c r="Z218" s="6"/>
      <c r="AA218" s="47"/>
      <c r="AB218" s="47"/>
      <c r="AC218" s="47"/>
      <c r="AD218" s="47"/>
      <c r="AE218" s="48">
        <v>11</v>
      </c>
    </row>
    <row r="219" spans="1:31" s="48" customFormat="1" ht="11.45" customHeight="1">
      <c r="A219" s="1"/>
      <c r="B219" s="3"/>
      <c r="C219" s="3"/>
      <c r="J219" s="2"/>
      <c r="K219" s="3"/>
      <c r="L219" s="3"/>
      <c r="M219" s="2"/>
      <c r="N219" s="2"/>
      <c r="O219" s="2"/>
      <c r="P219" s="2"/>
      <c r="Q219" s="3"/>
      <c r="R219" s="2"/>
      <c r="S219" s="2"/>
      <c r="T219" s="5"/>
      <c r="U219" s="2"/>
      <c r="V219" s="2"/>
      <c r="W219" s="2"/>
      <c r="X219" s="2"/>
      <c r="Y219" s="2"/>
      <c r="Z219" s="6"/>
      <c r="AA219" s="47"/>
      <c r="AB219" s="47"/>
      <c r="AC219" s="47"/>
      <c r="AD219" s="47"/>
      <c r="AE219" s="48">
        <v>11</v>
      </c>
    </row>
    <row r="220" spans="1:31" s="48" customFormat="1" ht="11.45" customHeight="1">
      <c r="A220" s="1"/>
      <c r="B220" s="3"/>
      <c r="C220" s="3"/>
      <c r="J220" s="2"/>
      <c r="K220" s="3"/>
      <c r="L220" s="3"/>
      <c r="M220" s="2"/>
      <c r="N220" s="2"/>
      <c r="O220" s="2"/>
      <c r="P220" s="2"/>
      <c r="Q220" s="3"/>
      <c r="R220" s="2"/>
      <c r="S220" s="2"/>
      <c r="T220" s="5"/>
      <c r="U220" s="2"/>
      <c r="V220" s="2"/>
      <c r="W220" s="2"/>
      <c r="X220" s="2"/>
      <c r="Y220" s="2"/>
      <c r="Z220" s="6"/>
      <c r="AA220" s="47"/>
      <c r="AB220" s="47"/>
      <c r="AC220" s="47"/>
      <c r="AD220" s="47"/>
      <c r="AE220" s="48">
        <v>11</v>
      </c>
    </row>
    <row r="221" spans="1:31" s="48" customFormat="1" ht="11.45" customHeight="1">
      <c r="A221" s="1"/>
      <c r="B221" s="3"/>
      <c r="C221" s="3"/>
      <c r="J221" s="2"/>
      <c r="K221" s="3"/>
      <c r="L221" s="3"/>
      <c r="M221" s="2"/>
      <c r="N221" s="2"/>
      <c r="O221" s="2"/>
      <c r="P221" s="2"/>
      <c r="Q221" s="3"/>
      <c r="R221" s="2"/>
      <c r="S221" s="2"/>
      <c r="T221" s="5"/>
      <c r="U221" s="2"/>
      <c r="V221" s="2"/>
      <c r="W221" s="2"/>
      <c r="X221" s="2"/>
      <c r="Y221" s="2"/>
      <c r="Z221" s="6"/>
      <c r="AA221" s="47"/>
      <c r="AB221" s="47"/>
      <c r="AC221" s="47"/>
      <c r="AD221" s="47"/>
      <c r="AE221" s="48">
        <v>11</v>
      </c>
    </row>
    <row r="222" spans="1:31" s="48" customFormat="1" ht="11.45" customHeight="1">
      <c r="A222" s="1"/>
      <c r="B222" s="3"/>
      <c r="C222" s="3"/>
      <c r="J222" s="2"/>
      <c r="K222" s="3"/>
      <c r="L222" s="3"/>
      <c r="M222" s="2"/>
      <c r="N222" s="2"/>
      <c r="O222" s="2"/>
      <c r="P222" s="2"/>
      <c r="Q222" s="3"/>
      <c r="R222" s="2"/>
      <c r="S222" s="2"/>
      <c r="T222" s="5"/>
      <c r="U222" s="2"/>
      <c r="V222" s="2"/>
      <c r="W222" s="2"/>
      <c r="X222" s="2"/>
      <c r="Y222" s="2"/>
      <c r="Z222" s="6"/>
      <c r="AA222" s="47"/>
      <c r="AB222" s="47"/>
      <c r="AC222" s="47"/>
      <c r="AD222" s="47"/>
      <c r="AE222" s="48">
        <v>11</v>
      </c>
    </row>
    <row r="223" spans="1:31" s="48" customFormat="1" ht="11.45" customHeight="1">
      <c r="A223" s="1"/>
      <c r="B223" s="3"/>
      <c r="C223" s="3"/>
      <c r="J223" s="2"/>
      <c r="K223" s="3"/>
      <c r="L223" s="3"/>
      <c r="M223" s="2"/>
      <c r="N223" s="2"/>
      <c r="O223" s="2"/>
      <c r="P223" s="2"/>
      <c r="Q223" s="3"/>
      <c r="R223" s="2"/>
      <c r="S223" s="2"/>
      <c r="T223" s="5"/>
      <c r="U223" s="2"/>
      <c r="V223" s="2"/>
      <c r="W223" s="2"/>
      <c r="X223" s="2"/>
      <c r="Y223" s="2"/>
      <c r="Z223" s="6"/>
      <c r="AA223" s="47"/>
      <c r="AB223" s="47"/>
      <c r="AC223" s="47"/>
      <c r="AD223" s="47"/>
      <c r="AE223" s="48">
        <v>11</v>
      </c>
    </row>
    <row r="224" spans="1:31" s="48" customFormat="1" ht="11.45" customHeight="1">
      <c r="A224" s="1"/>
      <c r="B224" s="3"/>
      <c r="C224" s="3"/>
      <c r="J224" s="2"/>
      <c r="K224" s="3"/>
      <c r="L224" s="3"/>
      <c r="M224" s="2"/>
      <c r="N224" s="2"/>
      <c r="O224" s="2"/>
      <c r="P224" s="2"/>
      <c r="Q224" s="3"/>
      <c r="R224" s="2"/>
      <c r="S224" s="2"/>
      <c r="T224" s="5"/>
      <c r="U224" s="2"/>
      <c r="V224" s="2"/>
      <c r="W224" s="2"/>
      <c r="X224" s="2"/>
      <c r="Y224" s="2"/>
      <c r="Z224" s="6"/>
      <c r="AA224" s="47"/>
      <c r="AB224" s="47"/>
      <c r="AC224" s="47"/>
      <c r="AD224" s="47"/>
      <c r="AE224" s="48">
        <v>11</v>
      </c>
    </row>
    <row r="225" spans="1:31" s="48" customFormat="1" ht="11.45" customHeight="1">
      <c r="A225" s="1"/>
      <c r="B225" s="3"/>
      <c r="C225" s="3"/>
      <c r="J225" s="2"/>
      <c r="K225" s="3"/>
      <c r="L225" s="3"/>
      <c r="M225" s="2"/>
      <c r="N225" s="2"/>
      <c r="O225" s="2"/>
      <c r="P225" s="2"/>
      <c r="Q225" s="3"/>
      <c r="R225" s="2"/>
      <c r="S225" s="2"/>
      <c r="T225" s="5"/>
      <c r="U225" s="2"/>
      <c r="V225" s="2"/>
      <c r="W225" s="2"/>
      <c r="X225" s="2"/>
      <c r="Y225" s="2"/>
      <c r="Z225" s="6"/>
      <c r="AA225" s="47"/>
      <c r="AB225" s="47"/>
      <c r="AC225" s="47"/>
      <c r="AD225" s="47"/>
      <c r="AE225" s="48">
        <v>11</v>
      </c>
    </row>
    <row r="226" spans="1:31" s="48" customFormat="1" ht="11.45" customHeight="1">
      <c r="A226" s="1"/>
      <c r="B226" s="3"/>
      <c r="C226" s="3"/>
      <c r="J226" s="2"/>
      <c r="K226" s="3"/>
      <c r="L226" s="3"/>
      <c r="M226" s="2"/>
      <c r="N226" s="2"/>
      <c r="O226" s="2"/>
      <c r="P226" s="2"/>
      <c r="Q226" s="3"/>
      <c r="R226" s="2"/>
      <c r="S226" s="2"/>
      <c r="T226" s="5"/>
      <c r="U226" s="2"/>
      <c r="V226" s="2"/>
      <c r="W226" s="2"/>
      <c r="X226" s="2"/>
      <c r="Y226" s="2"/>
      <c r="Z226" s="6"/>
      <c r="AA226" s="47"/>
      <c r="AB226" s="47"/>
      <c r="AC226" s="47"/>
      <c r="AD226" s="47"/>
      <c r="AE226" s="48">
        <v>11</v>
      </c>
    </row>
    <row r="227" spans="1:31" s="48" customFormat="1" ht="11.45" customHeight="1">
      <c r="A227" s="1"/>
      <c r="B227" s="3"/>
      <c r="C227" s="3"/>
      <c r="J227" s="2"/>
      <c r="K227" s="3"/>
      <c r="L227" s="3"/>
      <c r="M227" s="2"/>
      <c r="N227" s="2"/>
      <c r="O227" s="2"/>
      <c r="P227" s="2"/>
      <c r="Q227" s="3"/>
      <c r="R227" s="2"/>
      <c r="S227" s="2"/>
      <c r="T227" s="5"/>
      <c r="U227" s="2"/>
      <c r="V227" s="2"/>
      <c r="W227" s="2"/>
      <c r="X227" s="2"/>
      <c r="Y227" s="2"/>
      <c r="Z227" s="6"/>
      <c r="AA227" s="47"/>
      <c r="AB227" s="47"/>
      <c r="AC227" s="47"/>
      <c r="AD227" s="47"/>
      <c r="AE227" s="48">
        <v>11</v>
      </c>
    </row>
    <row r="228" spans="1:31" s="48" customFormat="1" ht="11.45" customHeight="1">
      <c r="A228" s="1"/>
      <c r="B228" s="3"/>
      <c r="C228" s="3"/>
      <c r="J228" s="2"/>
      <c r="K228" s="3"/>
      <c r="L228" s="3"/>
      <c r="M228" s="2"/>
      <c r="N228" s="2"/>
      <c r="O228" s="2"/>
      <c r="P228" s="2"/>
      <c r="Q228" s="3"/>
      <c r="R228" s="2"/>
      <c r="S228" s="2"/>
      <c r="T228" s="5"/>
      <c r="U228" s="2"/>
      <c r="V228" s="2"/>
      <c r="W228" s="2"/>
      <c r="X228" s="2"/>
      <c r="Y228" s="2"/>
      <c r="Z228" s="6"/>
      <c r="AA228" s="47"/>
      <c r="AB228" s="47"/>
      <c r="AC228" s="47"/>
      <c r="AD228" s="47"/>
      <c r="AE228" s="48">
        <v>11</v>
      </c>
    </row>
    <row r="229" spans="1:31" s="48" customFormat="1" ht="11.45" customHeight="1">
      <c r="A229" s="1"/>
      <c r="B229" s="3"/>
      <c r="C229" s="3"/>
      <c r="J229" s="2"/>
      <c r="K229" s="3"/>
      <c r="L229" s="3"/>
      <c r="M229" s="2"/>
      <c r="N229" s="2"/>
      <c r="O229" s="2"/>
      <c r="P229" s="2"/>
      <c r="Q229" s="3"/>
      <c r="R229" s="2"/>
      <c r="S229" s="2"/>
      <c r="T229" s="5"/>
      <c r="U229" s="2"/>
      <c r="V229" s="2"/>
      <c r="W229" s="2"/>
      <c r="X229" s="2"/>
      <c r="Y229" s="2"/>
      <c r="Z229" s="6"/>
      <c r="AA229" s="47"/>
      <c r="AB229" s="47"/>
      <c r="AC229" s="47"/>
      <c r="AD229" s="47"/>
      <c r="AE229" s="48">
        <v>11</v>
      </c>
    </row>
    <row r="230" spans="1:31" s="48" customFormat="1" ht="11.45" customHeight="1">
      <c r="A230" s="1"/>
      <c r="B230" s="3"/>
      <c r="C230" s="3"/>
      <c r="J230" s="2"/>
      <c r="K230" s="3"/>
      <c r="L230" s="3"/>
      <c r="M230" s="2"/>
      <c r="N230" s="2"/>
      <c r="O230" s="2"/>
      <c r="P230" s="2"/>
      <c r="Q230" s="3"/>
      <c r="R230" s="2"/>
      <c r="S230" s="2"/>
      <c r="T230" s="5"/>
      <c r="U230" s="2"/>
      <c r="V230" s="2"/>
      <c r="W230" s="2"/>
      <c r="X230" s="2"/>
      <c r="Y230" s="2"/>
      <c r="Z230" s="6"/>
      <c r="AA230" s="47"/>
      <c r="AB230" s="47"/>
      <c r="AC230" s="47"/>
      <c r="AD230" s="47"/>
      <c r="AE230" s="48">
        <v>11</v>
      </c>
    </row>
    <row r="231" spans="1:31" s="48" customFormat="1" ht="11.45" customHeight="1">
      <c r="A231" s="1"/>
      <c r="B231" s="3"/>
      <c r="C231" s="3"/>
      <c r="J231" s="2"/>
      <c r="K231" s="3"/>
      <c r="L231" s="3"/>
      <c r="M231" s="2"/>
      <c r="N231" s="2"/>
      <c r="O231" s="2"/>
      <c r="P231" s="2"/>
      <c r="Q231" s="3"/>
      <c r="R231" s="2"/>
      <c r="S231" s="2"/>
      <c r="T231" s="5"/>
      <c r="U231" s="2"/>
      <c r="V231" s="2"/>
      <c r="W231" s="2"/>
      <c r="X231" s="2"/>
      <c r="Y231" s="2"/>
      <c r="Z231" s="6"/>
      <c r="AA231" s="47"/>
      <c r="AB231" s="47"/>
      <c r="AC231" s="47"/>
      <c r="AD231" s="47"/>
      <c r="AE231" s="48">
        <v>11</v>
      </c>
    </row>
    <row r="232" spans="1:31" s="48" customFormat="1" ht="11.45" customHeight="1">
      <c r="A232" s="1"/>
      <c r="B232" s="3"/>
      <c r="C232" s="3"/>
      <c r="J232" s="2"/>
      <c r="K232" s="3"/>
      <c r="L232" s="3"/>
      <c r="M232" s="2"/>
      <c r="N232" s="2"/>
      <c r="O232" s="2"/>
      <c r="P232" s="2"/>
      <c r="Q232" s="3"/>
      <c r="R232" s="2"/>
      <c r="S232" s="2"/>
      <c r="T232" s="5"/>
      <c r="U232" s="2"/>
      <c r="V232" s="2"/>
      <c r="W232" s="2"/>
      <c r="X232" s="2"/>
      <c r="Y232" s="2"/>
      <c r="Z232" s="6"/>
      <c r="AA232" s="47"/>
      <c r="AB232" s="47"/>
      <c r="AC232" s="47"/>
      <c r="AD232" s="47"/>
      <c r="AE232" s="48">
        <v>11</v>
      </c>
    </row>
    <row r="233" spans="1:31" s="48" customFormat="1" ht="11.45" customHeight="1">
      <c r="A233" s="1"/>
      <c r="B233" s="3"/>
      <c r="C233" s="3"/>
      <c r="J233" s="2"/>
      <c r="K233" s="3"/>
      <c r="L233" s="3"/>
      <c r="M233" s="2"/>
      <c r="N233" s="2"/>
      <c r="O233" s="2"/>
      <c r="P233" s="2"/>
      <c r="Q233" s="3"/>
      <c r="R233" s="2"/>
      <c r="S233" s="2"/>
      <c r="T233" s="5"/>
      <c r="U233" s="2"/>
      <c r="V233" s="2"/>
      <c r="W233" s="2"/>
      <c r="X233" s="2"/>
      <c r="Y233" s="2"/>
      <c r="Z233" s="6"/>
      <c r="AA233" s="47"/>
      <c r="AB233" s="47"/>
      <c r="AC233" s="47"/>
      <c r="AD233" s="47"/>
      <c r="AE233" s="48">
        <v>11</v>
      </c>
    </row>
    <row r="234" spans="1:31" s="48" customFormat="1" ht="11.45" customHeight="1">
      <c r="A234" s="1"/>
      <c r="B234" s="3"/>
      <c r="C234" s="3"/>
      <c r="J234" s="2"/>
      <c r="K234" s="3"/>
      <c r="L234" s="3"/>
      <c r="M234" s="2"/>
      <c r="N234" s="2"/>
      <c r="O234" s="2"/>
      <c r="P234" s="2"/>
      <c r="Q234" s="3"/>
      <c r="R234" s="2"/>
      <c r="S234" s="2"/>
      <c r="T234" s="5"/>
      <c r="U234" s="2"/>
      <c r="V234" s="2"/>
      <c r="W234" s="2"/>
      <c r="X234" s="2"/>
      <c r="Y234" s="2"/>
      <c r="Z234" s="6"/>
      <c r="AA234" s="47"/>
      <c r="AB234" s="47"/>
      <c r="AC234" s="47"/>
      <c r="AD234" s="47"/>
      <c r="AE234" s="48">
        <v>11</v>
      </c>
    </row>
    <row r="235" spans="1:31" s="48" customFormat="1" ht="11.45" customHeight="1">
      <c r="A235" s="1"/>
      <c r="B235" s="3"/>
      <c r="C235" s="3"/>
      <c r="J235" s="2"/>
      <c r="K235" s="3"/>
      <c r="L235" s="3"/>
      <c r="M235" s="2"/>
      <c r="N235" s="2"/>
      <c r="O235" s="2"/>
      <c r="P235" s="2"/>
      <c r="Q235" s="3"/>
      <c r="R235" s="2"/>
      <c r="S235" s="2"/>
      <c r="T235" s="5"/>
      <c r="U235" s="2"/>
      <c r="V235" s="2"/>
      <c r="W235" s="2"/>
      <c r="X235" s="2"/>
      <c r="Y235" s="2"/>
      <c r="Z235" s="6"/>
      <c r="AA235" s="47"/>
      <c r="AB235" s="47"/>
      <c r="AC235" s="47"/>
      <c r="AD235" s="47"/>
      <c r="AE235" s="48">
        <v>11</v>
      </c>
    </row>
    <row r="236" spans="1:31" s="48" customFormat="1" ht="11.45" customHeight="1">
      <c r="A236" s="1"/>
      <c r="B236" s="3"/>
      <c r="C236" s="3"/>
      <c r="J236" s="2"/>
      <c r="K236" s="3"/>
      <c r="L236" s="3"/>
      <c r="M236" s="2"/>
      <c r="N236" s="2"/>
      <c r="O236" s="2"/>
      <c r="P236" s="2"/>
      <c r="Q236" s="3"/>
      <c r="R236" s="2"/>
      <c r="S236" s="2"/>
      <c r="T236" s="5"/>
      <c r="U236" s="2"/>
      <c r="V236" s="2"/>
      <c r="W236" s="2"/>
      <c r="X236" s="2"/>
      <c r="Y236" s="2"/>
      <c r="Z236" s="6"/>
      <c r="AA236" s="47"/>
      <c r="AB236" s="47"/>
      <c r="AC236" s="47"/>
      <c r="AD236" s="47"/>
      <c r="AE236" s="48">
        <v>11</v>
      </c>
    </row>
    <row r="237" spans="1:31" s="48" customFormat="1" ht="11.45" customHeight="1">
      <c r="A237" s="1"/>
      <c r="B237" s="3"/>
      <c r="C237" s="3"/>
      <c r="J237" s="2"/>
      <c r="K237" s="3"/>
      <c r="L237" s="3"/>
      <c r="M237" s="2"/>
      <c r="N237" s="2"/>
      <c r="O237" s="2"/>
      <c r="P237" s="2"/>
      <c r="Q237" s="3"/>
      <c r="R237" s="2"/>
      <c r="S237" s="2"/>
      <c r="T237" s="5"/>
      <c r="U237" s="2"/>
      <c r="V237" s="2"/>
      <c r="W237" s="2"/>
      <c r="X237" s="2"/>
      <c r="Y237" s="2"/>
      <c r="Z237" s="6"/>
      <c r="AA237" s="47"/>
      <c r="AB237" s="47"/>
      <c r="AC237" s="47"/>
      <c r="AD237" s="47"/>
      <c r="AE237" s="48">
        <v>11</v>
      </c>
    </row>
    <row r="238" spans="1:31" s="48" customFormat="1" ht="11.45" customHeight="1">
      <c r="A238" s="1"/>
      <c r="B238" s="3"/>
      <c r="C238" s="3"/>
      <c r="J238" s="2"/>
      <c r="K238" s="3"/>
      <c r="L238" s="3"/>
      <c r="M238" s="2"/>
      <c r="N238" s="2"/>
      <c r="O238" s="2"/>
      <c r="P238" s="2"/>
      <c r="Q238" s="3"/>
      <c r="R238" s="2"/>
      <c r="S238" s="2"/>
      <c r="T238" s="5"/>
      <c r="U238" s="2"/>
      <c r="V238" s="2"/>
      <c r="W238" s="2"/>
      <c r="X238" s="2"/>
      <c r="Y238" s="2"/>
      <c r="Z238" s="6"/>
      <c r="AA238" s="47"/>
      <c r="AB238" s="47"/>
      <c r="AC238" s="47"/>
      <c r="AD238" s="47"/>
      <c r="AE238" s="48">
        <v>11</v>
      </c>
    </row>
    <row r="239" spans="1:31" s="48" customFormat="1" ht="11.45" customHeight="1">
      <c r="A239" s="1"/>
      <c r="B239" s="3"/>
      <c r="C239" s="3"/>
      <c r="J239" s="2"/>
      <c r="K239" s="3"/>
      <c r="L239" s="3"/>
      <c r="M239" s="2"/>
      <c r="N239" s="2"/>
      <c r="O239" s="2"/>
      <c r="P239" s="2"/>
      <c r="Q239" s="3"/>
      <c r="R239" s="2"/>
      <c r="S239" s="2"/>
      <c r="T239" s="5"/>
      <c r="U239" s="2"/>
      <c r="V239" s="2"/>
      <c r="W239" s="2"/>
      <c r="X239" s="2"/>
      <c r="Y239" s="2"/>
      <c r="Z239" s="6"/>
      <c r="AA239" s="47"/>
      <c r="AB239" s="47"/>
      <c r="AC239" s="47"/>
      <c r="AD239" s="47"/>
      <c r="AE239" s="48">
        <v>11</v>
      </c>
    </row>
    <row r="240" spans="1:31" s="48" customFormat="1" ht="11.45" customHeight="1">
      <c r="A240" s="1"/>
      <c r="B240" s="3"/>
      <c r="C240" s="3"/>
      <c r="J240" s="2"/>
      <c r="K240" s="3"/>
      <c r="L240" s="3"/>
      <c r="M240" s="2"/>
      <c r="N240" s="2"/>
      <c r="O240" s="2"/>
      <c r="P240" s="2"/>
      <c r="Q240" s="3"/>
      <c r="R240" s="2"/>
      <c r="S240" s="2"/>
      <c r="T240" s="5"/>
      <c r="U240" s="2"/>
      <c r="V240" s="2"/>
      <c r="W240" s="2"/>
      <c r="X240" s="2"/>
      <c r="Y240" s="2"/>
      <c r="Z240" s="6"/>
      <c r="AA240" s="47"/>
      <c r="AB240" s="47"/>
      <c r="AC240" s="47"/>
      <c r="AD240" s="47"/>
      <c r="AE240" s="48">
        <v>11</v>
      </c>
    </row>
    <row r="241" spans="1:31" s="48" customFormat="1" ht="11.45" customHeight="1">
      <c r="A241" s="1"/>
      <c r="B241" s="3"/>
      <c r="C241" s="3"/>
      <c r="J241" s="2"/>
      <c r="K241" s="3"/>
      <c r="L241" s="3"/>
      <c r="M241" s="2"/>
      <c r="N241" s="2"/>
      <c r="O241" s="2"/>
      <c r="P241" s="2"/>
      <c r="Q241" s="3"/>
      <c r="R241" s="2"/>
      <c r="S241" s="2"/>
      <c r="T241" s="5"/>
      <c r="U241" s="2"/>
      <c r="V241" s="2"/>
      <c r="W241" s="2"/>
      <c r="X241" s="2"/>
      <c r="Y241" s="2"/>
      <c r="Z241" s="6"/>
      <c r="AA241" s="47"/>
      <c r="AB241" s="47"/>
      <c r="AC241" s="47"/>
      <c r="AD241" s="47"/>
      <c r="AE241" s="48">
        <v>11</v>
      </c>
    </row>
    <row r="242" spans="1:31" s="48" customFormat="1" ht="11.45" customHeight="1">
      <c r="A242" s="1"/>
      <c r="B242" s="3"/>
      <c r="C242" s="3"/>
      <c r="J242" s="2"/>
      <c r="K242" s="3"/>
      <c r="L242" s="3"/>
      <c r="M242" s="2"/>
      <c r="N242" s="2"/>
      <c r="O242" s="2"/>
      <c r="P242" s="2"/>
      <c r="Q242" s="3"/>
      <c r="R242" s="2"/>
      <c r="S242" s="2"/>
      <c r="T242" s="5"/>
      <c r="U242" s="2"/>
      <c r="V242" s="2"/>
      <c r="W242" s="2"/>
      <c r="X242" s="2"/>
      <c r="Y242" s="2"/>
      <c r="Z242" s="6"/>
      <c r="AA242" s="47"/>
      <c r="AB242" s="47"/>
      <c r="AC242" s="47"/>
      <c r="AD242" s="47"/>
      <c r="AE242" s="48">
        <v>11</v>
      </c>
    </row>
    <row r="243" spans="1:31" s="48" customFormat="1" ht="11.45" customHeight="1">
      <c r="A243" s="1"/>
      <c r="B243" s="3"/>
      <c r="C243" s="3"/>
      <c r="J243" s="2"/>
      <c r="K243" s="3"/>
      <c r="L243" s="3"/>
      <c r="M243" s="2"/>
      <c r="N243" s="2"/>
      <c r="O243" s="2"/>
      <c r="P243" s="2"/>
      <c r="Q243" s="3"/>
      <c r="R243" s="2"/>
      <c r="S243" s="2"/>
      <c r="T243" s="5"/>
      <c r="U243" s="2"/>
      <c r="V243" s="2"/>
      <c r="W243" s="2"/>
      <c r="X243" s="2"/>
      <c r="Y243" s="2"/>
      <c r="Z243" s="6"/>
      <c r="AA243" s="47"/>
      <c r="AB243" s="47"/>
      <c r="AC243" s="47"/>
      <c r="AD243" s="47"/>
      <c r="AE243" s="48">
        <v>11</v>
      </c>
    </row>
    <row r="244" spans="1:31" s="48" customFormat="1" ht="11.45" customHeight="1">
      <c r="A244" s="1"/>
      <c r="B244" s="3"/>
      <c r="C244" s="3"/>
      <c r="J244" s="2"/>
      <c r="K244" s="3"/>
      <c r="L244" s="3"/>
      <c r="M244" s="2"/>
      <c r="N244" s="2"/>
      <c r="O244" s="2"/>
      <c r="P244" s="2"/>
      <c r="Q244" s="3"/>
      <c r="R244" s="2"/>
      <c r="S244" s="2"/>
      <c r="T244" s="5"/>
      <c r="U244" s="2"/>
      <c r="V244" s="2"/>
      <c r="W244" s="2"/>
      <c r="X244" s="2"/>
      <c r="Y244" s="2"/>
      <c r="Z244" s="6"/>
      <c r="AA244" s="47"/>
      <c r="AB244" s="47"/>
      <c r="AC244" s="47"/>
      <c r="AD244" s="47"/>
      <c r="AE244" s="48">
        <v>11</v>
      </c>
    </row>
    <row r="245" spans="1:31" s="48" customFormat="1" ht="11.45" customHeight="1">
      <c r="A245" s="1"/>
      <c r="B245" s="3"/>
      <c r="C245" s="3"/>
      <c r="J245" s="2"/>
      <c r="K245" s="3"/>
      <c r="L245" s="3"/>
      <c r="M245" s="2"/>
      <c r="N245" s="2"/>
      <c r="O245" s="2"/>
      <c r="P245" s="2"/>
      <c r="Q245" s="3"/>
      <c r="R245" s="2"/>
      <c r="S245" s="2"/>
      <c r="T245" s="5"/>
      <c r="U245" s="2"/>
      <c r="V245" s="2"/>
      <c r="W245" s="2"/>
      <c r="X245" s="2"/>
      <c r="Y245" s="2"/>
      <c r="Z245" s="6"/>
      <c r="AA245" s="47"/>
      <c r="AB245" s="47"/>
      <c r="AC245" s="47"/>
      <c r="AD245" s="47"/>
      <c r="AE245" s="48">
        <v>11</v>
      </c>
    </row>
    <row r="246" spans="1:31" s="48" customFormat="1" ht="11.45" customHeight="1">
      <c r="A246" s="1"/>
      <c r="B246" s="3"/>
      <c r="C246" s="3"/>
      <c r="J246" s="2"/>
      <c r="K246" s="3"/>
      <c r="L246" s="3"/>
      <c r="M246" s="2"/>
      <c r="N246" s="2"/>
      <c r="O246" s="2"/>
      <c r="P246" s="2"/>
      <c r="Q246" s="3"/>
      <c r="R246" s="2"/>
      <c r="S246" s="2"/>
      <c r="T246" s="5"/>
      <c r="U246" s="2"/>
      <c r="V246" s="2"/>
      <c r="W246" s="2"/>
      <c r="X246" s="2"/>
      <c r="Y246" s="2"/>
      <c r="Z246" s="6"/>
      <c r="AA246" s="47"/>
      <c r="AB246" s="47"/>
      <c r="AC246" s="47"/>
      <c r="AD246" s="47"/>
      <c r="AE246" s="48">
        <v>11</v>
      </c>
    </row>
    <row r="247" spans="1:31" s="48" customFormat="1" ht="11.45" customHeight="1">
      <c r="A247" s="1"/>
      <c r="B247" s="3"/>
      <c r="C247" s="3"/>
      <c r="J247" s="2"/>
      <c r="K247" s="3"/>
      <c r="L247" s="3"/>
      <c r="M247" s="2"/>
      <c r="N247" s="2"/>
      <c r="O247" s="2"/>
      <c r="P247" s="2"/>
      <c r="Q247" s="3"/>
      <c r="R247" s="2"/>
      <c r="S247" s="2"/>
      <c r="T247" s="5"/>
      <c r="U247" s="2"/>
      <c r="V247" s="2"/>
      <c r="W247" s="2"/>
      <c r="X247" s="2"/>
      <c r="Y247" s="2"/>
      <c r="Z247" s="6"/>
      <c r="AA247" s="47"/>
      <c r="AB247" s="47"/>
      <c r="AC247" s="47"/>
      <c r="AD247" s="47"/>
      <c r="AE247" s="48">
        <v>11</v>
      </c>
    </row>
    <row r="248" spans="1:31" s="48" customFormat="1" ht="11.45" customHeight="1">
      <c r="A248" s="1"/>
      <c r="B248" s="3"/>
      <c r="C248" s="3"/>
      <c r="J248" s="2"/>
      <c r="K248" s="3"/>
      <c r="L248" s="3"/>
      <c r="M248" s="2"/>
      <c r="N248" s="2"/>
      <c r="O248" s="2"/>
      <c r="P248" s="2"/>
      <c r="Q248" s="3"/>
      <c r="R248" s="2"/>
      <c r="S248" s="2"/>
      <c r="T248" s="5"/>
      <c r="U248" s="2"/>
      <c r="V248" s="2"/>
      <c r="W248" s="2"/>
      <c r="X248" s="2"/>
      <c r="Y248" s="2"/>
      <c r="Z248" s="6"/>
      <c r="AA248" s="47"/>
      <c r="AB248" s="47"/>
      <c r="AC248" s="47"/>
      <c r="AD248" s="47"/>
      <c r="AE248" s="48">
        <v>11</v>
      </c>
    </row>
    <row r="249" spans="1:31" s="48" customFormat="1" ht="11.45" customHeight="1">
      <c r="A249" s="1"/>
      <c r="B249" s="3"/>
      <c r="C249" s="3"/>
      <c r="J249" s="2"/>
      <c r="K249" s="3"/>
      <c r="L249" s="3"/>
      <c r="M249" s="2"/>
      <c r="N249" s="2"/>
      <c r="O249" s="2"/>
      <c r="P249" s="2"/>
      <c r="Q249" s="3"/>
      <c r="R249" s="2"/>
      <c r="S249" s="2"/>
      <c r="T249" s="5"/>
      <c r="U249" s="2"/>
      <c r="V249" s="2"/>
      <c r="W249" s="2"/>
      <c r="X249" s="2"/>
      <c r="Y249" s="2"/>
      <c r="Z249" s="6"/>
      <c r="AA249" s="47"/>
      <c r="AB249" s="47"/>
      <c r="AC249" s="47"/>
      <c r="AD249" s="47"/>
      <c r="AE249" s="48">
        <v>11</v>
      </c>
    </row>
    <row r="250" spans="1:31" s="48" customFormat="1" ht="11.45" customHeight="1">
      <c r="A250" s="1"/>
      <c r="B250" s="3"/>
      <c r="C250" s="3"/>
      <c r="J250" s="2"/>
      <c r="K250" s="3"/>
      <c r="L250" s="3"/>
      <c r="M250" s="2"/>
      <c r="N250" s="2"/>
      <c r="O250" s="2"/>
      <c r="P250" s="2"/>
      <c r="Q250" s="3"/>
      <c r="R250" s="2"/>
      <c r="S250" s="2"/>
      <c r="T250" s="5"/>
      <c r="U250" s="2"/>
      <c r="V250" s="2"/>
      <c r="W250" s="2"/>
      <c r="X250" s="2"/>
      <c r="Y250" s="2"/>
      <c r="Z250" s="6"/>
      <c r="AA250" s="47"/>
      <c r="AB250" s="47"/>
      <c r="AC250" s="47"/>
      <c r="AD250" s="47"/>
      <c r="AE250" s="48">
        <v>11</v>
      </c>
    </row>
    <row r="251" spans="1:31" s="48" customFormat="1" ht="11.45" customHeight="1">
      <c r="A251" s="1"/>
      <c r="B251" s="3"/>
      <c r="C251" s="3"/>
      <c r="J251" s="2"/>
      <c r="K251" s="3"/>
      <c r="L251" s="3"/>
      <c r="M251" s="2"/>
      <c r="N251" s="2"/>
      <c r="O251" s="2"/>
      <c r="P251" s="2"/>
      <c r="Q251" s="3"/>
      <c r="R251" s="2"/>
      <c r="S251" s="2"/>
      <c r="T251" s="5"/>
      <c r="U251" s="2"/>
      <c r="V251" s="2"/>
      <c r="W251" s="2"/>
      <c r="X251" s="2"/>
      <c r="Y251" s="2"/>
      <c r="Z251" s="6"/>
      <c r="AA251" s="47"/>
      <c r="AB251" s="47"/>
      <c r="AC251" s="47"/>
      <c r="AD251" s="47"/>
      <c r="AE251" s="48">
        <v>11</v>
      </c>
    </row>
    <row r="252" spans="1:31" s="48" customFormat="1" ht="11.45" customHeight="1">
      <c r="A252" s="1"/>
      <c r="B252" s="3"/>
      <c r="C252" s="3"/>
      <c r="J252" s="2"/>
      <c r="K252" s="3"/>
      <c r="L252" s="3"/>
      <c r="M252" s="2"/>
      <c r="N252" s="2"/>
      <c r="O252" s="2"/>
      <c r="P252" s="2"/>
      <c r="Q252" s="3"/>
      <c r="R252" s="2"/>
      <c r="S252" s="2"/>
      <c r="T252" s="5"/>
      <c r="U252" s="2"/>
      <c r="V252" s="2"/>
      <c r="W252" s="2"/>
      <c r="X252" s="2"/>
      <c r="Y252" s="2"/>
      <c r="Z252" s="6"/>
      <c r="AA252" s="47"/>
      <c r="AB252" s="47"/>
      <c r="AC252" s="47"/>
      <c r="AD252" s="47"/>
      <c r="AE252" s="48">
        <v>11</v>
      </c>
    </row>
    <row r="253" spans="1:31" s="48" customFormat="1" ht="11.45" customHeight="1">
      <c r="A253" s="1"/>
      <c r="B253" s="3"/>
      <c r="C253" s="3"/>
      <c r="J253" s="2"/>
      <c r="K253" s="3"/>
      <c r="L253" s="3"/>
      <c r="M253" s="2"/>
      <c r="N253" s="2"/>
      <c r="O253" s="2"/>
      <c r="P253" s="2"/>
      <c r="Q253" s="3"/>
      <c r="R253" s="2"/>
      <c r="S253" s="2"/>
      <c r="T253" s="5"/>
      <c r="U253" s="2"/>
      <c r="V253" s="2"/>
      <c r="W253" s="2"/>
      <c r="X253" s="2"/>
      <c r="Y253" s="2"/>
      <c r="Z253" s="6"/>
      <c r="AA253" s="47"/>
      <c r="AB253" s="47"/>
      <c r="AC253" s="47"/>
      <c r="AD253" s="47"/>
      <c r="AE253" s="48">
        <v>11</v>
      </c>
    </row>
    <row r="254" spans="1:31" s="48" customFormat="1" ht="11.45" customHeight="1">
      <c r="A254" s="1"/>
      <c r="B254" s="3"/>
      <c r="C254" s="3"/>
      <c r="J254" s="2"/>
      <c r="K254" s="3"/>
      <c r="L254" s="3"/>
      <c r="M254" s="2"/>
      <c r="N254" s="2"/>
      <c r="O254" s="2"/>
      <c r="P254" s="2"/>
      <c r="Q254" s="3"/>
      <c r="R254" s="2"/>
      <c r="S254" s="2"/>
      <c r="T254" s="5"/>
      <c r="U254" s="2"/>
      <c r="V254" s="2"/>
      <c r="W254" s="2"/>
      <c r="X254" s="2"/>
      <c r="Y254" s="2"/>
      <c r="Z254" s="6"/>
      <c r="AA254" s="47"/>
      <c r="AB254" s="47"/>
      <c r="AC254" s="47"/>
      <c r="AD254" s="47"/>
      <c r="AE254" s="48">
        <v>11</v>
      </c>
    </row>
    <row r="255" spans="1:31" s="48" customFormat="1" ht="11.45" customHeight="1">
      <c r="A255" s="1"/>
      <c r="B255" s="3"/>
      <c r="C255" s="3"/>
      <c r="J255" s="2"/>
      <c r="K255" s="3"/>
      <c r="L255" s="3"/>
      <c r="M255" s="2"/>
      <c r="N255" s="2"/>
      <c r="O255" s="2"/>
      <c r="P255" s="2"/>
      <c r="Q255" s="3"/>
      <c r="R255" s="2"/>
      <c r="S255" s="2"/>
      <c r="T255" s="5"/>
      <c r="U255" s="2"/>
      <c r="V255" s="2"/>
      <c r="W255" s="2"/>
      <c r="X255" s="2"/>
      <c r="Y255" s="2"/>
      <c r="Z255" s="6"/>
      <c r="AA255" s="47"/>
      <c r="AB255" s="47"/>
      <c r="AC255" s="47"/>
      <c r="AD255" s="47"/>
      <c r="AE255" s="48">
        <v>11</v>
      </c>
    </row>
    <row r="256" spans="1:31" s="48" customFormat="1" ht="11.45" customHeight="1">
      <c r="A256" s="1"/>
      <c r="B256" s="3"/>
      <c r="C256" s="3"/>
      <c r="J256" s="2"/>
      <c r="K256" s="3"/>
      <c r="L256" s="3"/>
      <c r="M256" s="2"/>
      <c r="N256" s="2"/>
      <c r="O256" s="2"/>
      <c r="P256" s="2"/>
      <c r="Q256" s="3"/>
      <c r="R256" s="2"/>
      <c r="S256" s="2"/>
      <c r="T256" s="5"/>
      <c r="U256" s="2"/>
      <c r="V256" s="2"/>
      <c r="W256" s="2"/>
      <c r="X256" s="2"/>
      <c r="Y256" s="2"/>
      <c r="Z256" s="6"/>
      <c r="AA256" s="47"/>
      <c r="AB256" s="47"/>
      <c r="AC256" s="47"/>
      <c r="AD256" s="47"/>
      <c r="AE256" s="48">
        <v>11</v>
      </c>
    </row>
    <row r="257" spans="1:31" s="48" customFormat="1" ht="11.45" customHeight="1">
      <c r="A257" s="1"/>
      <c r="B257" s="3"/>
      <c r="C257" s="3"/>
      <c r="J257" s="2"/>
      <c r="K257" s="3"/>
      <c r="L257" s="3"/>
      <c r="M257" s="2"/>
      <c r="N257" s="2"/>
      <c r="O257" s="2"/>
      <c r="P257" s="2"/>
      <c r="Q257" s="3"/>
      <c r="R257" s="2"/>
      <c r="S257" s="2"/>
      <c r="T257" s="5"/>
      <c r="U257" s="2"/>
      <c r="V257" s="2"/>
      <c r="W257" s="2"/>
      <c r="X257" s="2"/>
      <c r="Y257" s="2"/>
      <c r="Z257" s="6"/>
      <c r="AA257" s="47"/>
      <c r="AB257" s="47"/>
      <c r="AC257" s="47"/>
      <c r="AD257" s="47"/>
      <c r="AE257" s="48">
        <v>11</v>
      </c>
    </row>
    <row r="258" spans="1:31" s="48" customFormat="1" ht="11.45" customHeight="1">
      <c r="A258" s="1"/>
      <c r="B258" s="3"/>
      <c r="C258" s="3"/>
      <c r="J258" s="2"/>
      <c r="K258" s="3"/>
      <c r="L258" s="3"/>
      <c r="M258" s="2"/>
      <c r="N258" s="2"/>
      <c r="O258" s="2"/>
      <c r="P258" s="2"/>
      <c r="Q258" s="3"/>
      <c r="R258" s="2"/>
      <c r="S258" s="2"/>
      <c r="T258" s="5"/>
      <c r="U258" s="2"/>
      <c r="V258" s="2"/>
      <c r="W258" s="2"/>
      <c r="X258" s="2"/>
      <c r="Y258" s="2"/>
      <c r="Z258" s="6"/>
      <c r="AA258" s="47"/>
      <c r="AB258" s="47"/>
      <c r="AC258" s="47"/>
      <c r="AD258" s="47"/>
      <c r="AE258" s="48">
        <v>11</v>
      </c>
    </row>
    <row r="259" spans="1:31" s="48" customFormat="1" ht="11.45" customHeight="1">
      <c r="A259" s="1"/>
      <c r="B259" s="3"/>
      <c r="C259" s="3"/>
      <c r="J259" s="2"/>
      <c r="K259" s="3"/>
      <c r="L259" s="3"/>
      <c r="M259" s="2"/>
      <c r="N259" s="2"/>
      <c r="O259" s="2"/>
      <c r="P259" s="2"/>
      <c r="Q259" s="3"/>
      <c r="R259" s="2"/>
      <c r="S259" s="2"/>
      <c r="T259" s="5"/>
      <c r="U259" s="2"/>
      <c r="V259" s="2"/>
      <c r="W259" s="2"/>
      <c r="X259" s="2"/>
      <c r="Y259" s="2"/>
      <c r="Z259" s="6"/>
      <c r="AA259" s="47"/>
      <c r="AB259" s="47"/>
      <c r="AC259" s="47"/>
      <c r="AD259" s="47"/>
      <c r="AE259" s="48">
        <v>11</v>
      </c>
    </row>
    <row r="260" spans="1:31" s="48" customFormat="1" ht="11.45" customHeight="1">
      <c r="A260" s="1"/>
      <c r="B260" s="3"/>
      <c r="C260" s="3"/>
      <c r="J260" s="2"/>
      <c r="K260" s="3"/>
      <c r="L260" s="3"/>
      <c r="M260" s="2"/>
      <c r="N260" s="2"/>
      <c r="O260" s="2"/>
      <c r="P260" s="2"/>
      <c r="Q260" s="3"/>
      <c r="R260" s="2"/>
      <c r="S260" s="2"/>
      <c r="T260" s="5"/>
      <c r="U260" s="2"/>
      <c r="V260" s="2"/>
      <c r="W260" s="2"/>
      <c r="X260" s="2"/>
      <c r="Y260" s="2"/>
      <c r="Z260" s="6"/>
      <c r="AA260" s="47"/>
      <c r="AB260" s="47"/>
      <c r="AC260" s="47"/>
      <c r="AD260" s="47"/>
      <c r="AE260" s="48">
        <v>11</v>
      </c>
    </row>
    <row r="261" spans="1:31" s="48" customFormat="1" ht="11.45" customHeight="1">
      <c r="A261" s="1"/>
      <c r="B261" s="3"/>
      <c r="C261" s="3"/>
      <c r="J261" s="2"/>
      <c r="K261" s="3"/>
      <c r="L261" s="3"/>
      <c r="M261" s="2"/>
      <c r="N261" s="2"/>
      <c r="O261" s="2"/>
      <c r="P261" s="2"/>
      <c r="Q261" s="3"/>
      <c r="R261" s="2"/>
      <c r="S261" s="2"/>
      <c r="T261" s="5"/>
      <c r="U261" s="2"/>
      <c r="V261" s="2"/>
      <c r="W261" s="2"/>
      <c r="X261" s="2"/>
      <c r="Y261" s="2"/>
      <c r="Z261" s="6"/>
      <c r="AA261" s="47"/>
      <c r="AB261" s="47"/>
      <c r="AC261" s="47"/>
      <c r="AD261" s="47"/>
      <c r="AE261" s="48">
        <v>11</v>
      </c>
    </row>
    <row r="262" spans="1:31" s="48" customFormat="1" ht="11.45" customHeight="1">
      <c r="A262" s="1"/>
      <c r="B262" s="3"/>
      <c r="C262" s="3"/>
      <c r="J262" s="2"/>
      <c r="K262" s="3"/>
      <c r="L262" s="3"/>
      <c r="M262" s="2"/>
      <c r="N262" s="2"/>
      <c r="O262" s="2"/>
      <c r="P262" s="2"/>
      <c r="Q262" s="3"/>
      <c r="R262" s="2"/>
      <c r="S262" s="2"/>
      <c r="T262" s="5"/>
      <c r="U262" s="2"/>
      <c r="V262" s="2"/>
      <c r="W262" s="2"/>
      <c r="X262" s="2"/>
      <c r="Y262" s="2"/>
      <c r="Z262" s="6"/>
      <c r="AA262" s="47"/>
      <c r="AB262" s="47"/>
      <c r="AC262" s="47"/>
      <c r="AD262" s="47"/>
      <c r="AE262" s="48">
        <v>11</v>
      </c>
    </row>
    <row r="263" spans="1:31" s="48" customFormat="1" ht="11.45" customHeight="1">
      <c r="A263" s="1"/>
      <c r="B263" s="3"/>
      <c r="C263" s="3"/>
      <c r="J263" s="2"/>
      <c r="K263" s="3"/>
      <c r="L263" s="3"/>
      <c r="M263" s="2"/>
      <c r="N263" s="2"/>
      <c r="O263" s="2"/>
      <c r="P263" s="2"/>
      <c r="Q263" s="3"/>
      <c r="R263" s="2"/>
      <c r="S263" s="2"/>
      <c r="T263" s="5"/>
      <c r="U263" s="2"/>
      <c r="V263" s="2"/>
      <c r="W263" s="2"/>
      <c r="X263" s="2"/>
      <c r="Y263" s="2"/>
      <c r="Z263" s="6"/>
      <c r="AA263" s="47"/>
      <c r="AB263" s="47"/>
      <c r="AC263" s="47"/>
      <c r="AD263" s="47"/>
      <c r="AE263" s="48">
        <v>11</v>
      </c>
    </row>
    <row r="264" spans="1:31" s="48" customFormat="1" ht="11.45" customHeight="1">
      <c r="A264" s="1"/>
      <c r="B264" s="3"/>
      <c r="C264" s="3"/>
      <c r="J264" s="2"/>
      <c r="K264" s="3"/>
      <c r="L264" s="3"/>
      <c r="M264" s="2"/>
      <c r="N264" s="2"/>
      <c r="O264" s="2"/>
      <c r="P264" s="2"/>
      <c r="Q264" s="3"/>
      <c r="R264" s="2"/>
      <c r="S264" s="2"/>
      <c r="T264" s="5"/>
      <c r="U264" s="2"/>
      <c r="V264" s="2"/>
      <c r="W264" s="2"/>
      <c r="X264" s="2"/>
      <c r="Y264" s="2"/>
      <c r="Z264" s="6"/>
      <c r="AA264" s="47"/>
      <c r="AB264" s="47"/>
      <c r="AC264" s="47"/>
      <c r="AD264" s="47"/>
      <c r="AE264" s="48">
        <v>11</v>
      </c>
    </row>
    <row r="265" spans="1:31" s="48" customFormat="1" ht="11.45" customHeight="1">
      <c r="A265" s="1"/>
      <c r="B265" s="3"/>
      <c r="C265" s="3"/>
      <c r="J265" s="2"/>
      <c r="K265" s="3"/>
      <c r="L265" s="3"/>
      <c r="M265" s="2"/>
      <c r="N265" s="2"/>
      <c r="O265" s="2"/>
      <c r="P265" s="2"/>
      <c r="Q265" s="3"/>
      <c r="R265" s="2"/>
      <c r="S265" s="2"/>
      <c r="T265" s="5"/>
      <c r="U265" s="2"/>
      <c r="V265" s="2"/>
      <c r="W265" s="2"/>
      <c r="X265" s="2"/>
      <c r="Y265" s="2"/>
      <c r="Z265" s="6"/>
      <c r="AA265" s="47"/>
      <c r="AB265" s="47"/>
      <c r="AC265" s="47"/>
      <c r="AD265" s="47"/>
      <c r="AE265" s="48">
        <v>11</v>
      </c>
    </row>
    <row r="266" spans="1:31" s="48" customFormat="1" ht="11.45" customHeight="1">
      <c r="A266" s="1"/>
      <c r="B266" s="3"/>
      <c r="C266" s="3"/>
      <c r="J266" s="2"/>
      <c r="K266" s="3"/>
      <c r="L266" s="3"/>
      <c r="M266" s="2"/>
      <c r="N266" s="2"/>
      <c r="O266" s="2"/>
      <c r="P266" s="2"/>
      <c r="Q266" s="3"/>
      <c r="R266" s="2"/>
      <c r="S266" s="2"/>
      <c r="T266" s="5"/>
      <c r="U266" s="2"/>
      <c r="V266" s="2"/>
      <c r="W266" s="2"/>
      <c r="X266" s="2"/>
      <c r="Y266" s="2"/>
      <c r="Z266" s="6"/>
      <c r="AA266" s="47"/>
      <c r="AB266" s="47"/>
      <c r="AC266" s="47"/>
      <c r="AD266" s="47"/>
      <c r="AE266" s="48">
        <v>11</v>
      </c>
    </row>
    <row r="267" spans="1:31" s="48" customFormat="1" ht="11.45" customHeight="1">
      <c r="A267" s="1"/>
      <c r="B267" s="3"/>
      <c r="C267" s="3"/>
      <c r="J267" s="2"/>
      <c r="K267" s="3"/>
      <c r="L267" s="3"/>
      <c r="M267" s="2"/>
      <c r="N267" s="2"/>
      <c r="O267" s="2"/>
      <c r="P267" s="2"/>
      <c r="Q267" s="3"/>
      <c r="R267" s="2"/>
      <c r="S267" s="2"/>
      <c r="T267" s="5"/>
      <c r="U267" s="2"/>
      <c r="V267" s="2"/>
      <c r="W267" s="2"/>
      <c r="X267" s="2"/>
      <c r="Y267" s="2"/>
      <c r="Z267" s="6"/>
      <c r="AA267" s="47"/>
      <c r="AB267" s="47"/>
      <c r="AC267" s="47"/>
      <c r="AD267" s="47"/>
      <c r="AE267" s="48">
        <v>11</v>
      </c>
    </row>
    <row r="268" spans="1:31" s="48" customFormat="1" ht="11.45" customHeight="1">
      <c r="A268" s="1"/>
      <c r="B268" s="3"/>
      <c r="C268" s="3"/>
      <c r="J268" s="2"/>
      <c r="K268" s="3"/>
      <c r="L268" s="3"/>
      <c r="M268" s="2"/>
      <c r="N268" s="2"/>
      <c r="O268" s="2"/>
      <c r="P268" s="2"/>
      <c r="Q268" s="3"/>
      <c r="R268" s="2"/>
      <c r="S268" s="2"/>
      <c r="T268" s="5"/>
      <c r="U268" s="2"/>
      <c r="V268" s="2"/>
      <c r="W268" s="2"/>
      <c r="X268" s="2"/>
      <c r="Y268" s="2"/>
      <c r="Z268" s="6"/>
      <c r="AA268" s="47"/>
      <c r="AB268" s="47"/>
      <c r="AC268" s="47"/>
      <c r="AD268" s="47"/>
      <c r="AE268" s="48">
        <v>11</v>
      </c>
    </row>
    <row r="269" spans="1:31" s="48" customFormat="1" ht="11.45" customHeight="1">
      <c r="A269" s="1"/>
      <c r="B269" s="3"/>
      <c r="C269" s="3"/>
      <c r="J269" s="2"/>
      <c r="K269" s="3"/>
      <c r="L269" s="3"/>
      <c r="M269" s="2"/>
      <c r="N269" s="2"/>
      <c r="O269" s="2"/>
      <c r="P269" s="2"/>
      <c r="Q269" s="3"/>
      <c r="R269" s="2"/>
      <c r="S269" s="2"/>
      <c r="T269" s="5"/>
      <c r="U269" s="2"/>
      <c r="V269" s="2"/>
      <c r="W269" s="2"/>
      <c r="X269" s="2"/>
      <c r="Y269" s="2"/>
      <c r="Z269" s="6"/>
      <c r="AA269" s="47"/>
      <c r="AB269" s="47"/>
      <c r="AC269" s="47"/>
      <c r="AD269" s="47"/>
      <c r="AE269" s="48">
        <v>11</v>
      </c>
    </row>
    <row r="270" spans="1:31" s="48" customFormat="1" ht="11.45" customHeight="1">
      <c r="A270" s="1"/>
      <c r="B270" s="3"/>
      <c r="C270" s="3"/>
      <c r="J270" s="2"/>
      <c r="K270" s="3"/>
      <c r="L270" s="3"/>
      <c r="M270" s="2"/>
      <c r="N270" s="2"/>
      <c r="O270" s="2"/>
      <c r="P270" s="2"/>
      <c r="Q270" s="3"/>
      <c r="R270" s="2"/>
      <c r="S270" s="2"/>
      <c r="T270" s="5"/>
      <c r="U270" s="2"/>
      <c r="V270" s="2"/>
      <c r="W270" s="2"/>
      <c r="X270" s="2"/>
      <c r="Y270" s="2"/>
      <c r="Z270" s="6"/>
      <c r="AA270" s="47"/>
      <c r="AB270" s="47"/>
      <c r="AC270" s="47"/>
      <c r="AD270" s="47"/>
      <c r="AE270" s="48">
        <v>11</v>
      </c>
    </row>
    <row r="271" spans="1:31" s="48" customFormat="1" ht="11.45" customHeight="1">
      <c r="A271" s="1"/>
      <c r="B271" s="3"/>
      <c r="C271" s="3"/>
      <c r="J271" s="2"/>
      <c r="K271" s="3"/>
      <c r="L271" s="3"/>
      <c r="M271" s="2"/>
      <c r="N271" s="2"/>
      <c r="O271" s="2"/>
      <c r="P271" s="2"/>
      <c r="Q271" s="3"/>
      <c r="R271" s="2"/>
      <c r="S271" s="2"/>
      <c r="T271" s="5"/>
      <c r="U271" s="2"/>
      <c r="V271" s="2"/>
      <c r="W271" s="2"/>
      <c r="X271" s="2"/>
      <c r="Y271" s="2"/>
      <c r="Z271" s="6"/>
      <c r="AA271" s="47"/>
      <c r="AB271" s="47"/>
      <c r="AC271" s="47"/>
      <c r="AD271" s="47"/>
      <c r="AE271" s="48">
        <v>11</v>
      </c>
    </row>
    <row r="272" spans="1:31" s="48" customFormat="1" ht="11.45" customHeight="1">
      <c r="A272" s="1"/>
      <c r="B272" s="3"/>
      <c r="C272" s="3"/>
      <c r="J272" s="2"/>
      <c r="K272" s="3"/>
      <c r="L272" s="3"/>
      <c r="M272" s="2"/>
      <c r="N272" s="2"/>
      <c r="O272" s="2"/>
      <c r="P272" s="2"/>
      <c r="Q272" s="3"/>
      <c r="R272" s="2"/>
      <c r="S272" s="2"/>
      <c r="T272" s="5"/>
      <c r="U272" s="2"/>
      <c r="V272" s="2"/>
      <c r="W272" s="2"/>
      <c r="X272" s="2"/>
      <c r="Y272" s="2"/>
      <c r="Z272" s="6"/>
      <c r="AA272" s="47"/>
      <c r="AB272" s="47"/>
      <c r="AC272" s="47"/>
      <c r="AD272" s="47"/>
      <c r="AE272" s="48">
        <v>11</v>
      </c>
    </row>
    <row r="273" spans="1:31" s="48" customFormat="1" ht="11.45" customHeight="1">
      <c r="A273" s="1"/>
      <c r="B273" s="3"/>
      <c r="C273" s="3"/>
      <c r="J273" s="2"/>
      <c r="K273" s="3"/>
      <c r="L273" s="3"/>
      <c r="M273" s="2"/>
      <c r="N273" s="2"/>
      <c r="O273" s="2"/>
      <c r="P273" s="2"/>
      <c r="Q273" s="3"/>
      <c r="R273" s="2"/>
      <c r="S273" s="2"/>
      <c r="T273" s="5"/>
      <c r="U273" s="2"/>
      <c r="V273" s="2"/>
      <c r="W273" s="2"/>
      <c r="X273" s="2"/>
      <c r="Y273" s="2"/>
      <c r="Z273" s="6"/>
      <c r="AA273" s="47"/>
      <c r="AB273" s="47"/>
      <c r="AC273" s="47"/>
      <c r="AD273" s="47"/>
      <c r="AE273" s="48">
        <v>11</v>
      </c>
    </row>
    <row r="274" spans="1:31" s="48" customFormat="1" ht="11.45" customHeight="1">
      <c r="A274" s="1"/>
      <c r="B274" s="3"/>
      <c r="C274" s="3"/>
      <c r="J274" s="2"/>
      <c r="K274" s="3"/>
      <c r="L274" s="3"/>
      <c r="M274" s="2"/>
      <c r="N274" s="2"/>
      <c r="O274" s="2"/>
      <c r="P274" s="2"/>
      <c r="Q274" s="3"/>
      <c r="R274" s="2"/>
      <c r="S274" s="2"/>
      <c r="T274" s="5"/>
      <c r="U274" s="2"/>
      <c r="V274" s="2"/>
      <c r="W274" s="2"/>
      <c r="X274" s="2"/>
      <c r="Y274" s="2"/>
      <c r="Z274" s="6"/>
      <c r="AA274" s="47"/>
      <c r="AB274" s="47"/>
      <c r="AC274" s="47"/>
      <c r="AD274" s="47"/>
      <c r="AE274" s="48">
        <v>11</v>
      </c>
    </row>
    <row r="275" spans="1:31" s="48" customFormat="1" ht="11.45" customHeight="1">
      <c r="A275" s="1"/>
      <c r="B275" s="3"/>
      <c r="C275" s="3"/>
      <c r="J275" s="2"/>
      <c r="K275" s="3"/>
      <c r="L275" s="3"/>
      <c r="M275" s="2"/>
      <c r="N275" s="2"/>
      <c r="O275" s="2"/>
      <c r="P275" s="2"/>
      <c r="Q275" s="3"/>
      <c r="R275" s="2"/>
      <c r="S275" s="2"/>
      <c r="T275" s="5"/>
      <c r="U275" s="2"/>
      <c r="V275" s="2"/>
      <c r="W275" s="2"/>
      <c r="X275" s="2"/>
      <c r="Y275" s="2"/>
      <c r="Z275" s="6"/>
      <c r="AA275" s="47"/>
      <c r="AB275" s="47"/>
      <c r="AC275" s="47"/>
      <c r="AD275" s="47"/>
      <c r="AE275" s="48">
        <v>11</v>
      </c>
    </row>
    <row r="276" spans="1:31" s="48" customFormat="1" ht="11.45" customHeight="1">
      <c r="A276" s="1"/>
      <c r="B276" s="3"/>
      <c r="C276" s="3"/>
      <c r="J276" s="2"/>
      <c r="K276" s="3"/>
      <c r="L276" s="3"/>
      <c r="M276" s="2"/>
      <c r="N276" s="2"/>
      <c r="O276" s="2"/>
      <c r="P276" s="2"/>
      <c r="Q276" s="3"/>
      <c r="R276" s="2"/>
      <c r="S276" s="2"/>
      <c r="T276" s="5"/>
      <c r="U276" s="2"/>
      <c r="V276" s="2"/>
      <c r="W276" s="2"/>
      <c r="X276" s="2"/>
      <c r="Y276" s="2"/>
      <c r="Z276" s="6"/>
      <c r="AA276" s="47"/>
      <c r="AB276" s="47"/>
      <c r="AC276" s="47"/>
      <c r="AD276" s="47"/>
      <c r="AE276" s="48">
        <v>11</v>
      </c>
    </row>
    <row r="277" spans="1:31" s="48" customFormat="1" ht="11.45" customHeight="1">
      <c r="A277" s="1"/>
      <c r="B277" s="3"/>
      <c r="C277" s="3"/>
      <c r="J277" s="2"/>
      <c r="K277" s="3"/>
      <c r="L277" s="3"/>
      <c r="M277" s="2"/>
      <c r="N277" s="2"/>
      <c r="O277" s="2"/>
      <c r="P277" s="2"/>
      <c r="Q277" s="3"/>
      <c r="R277" s="2"/>
      <c r="S277" s="2"/>
      <c r="T277" s="5"/>
      <c r="U277" s="2"/>
      <c r="V277" s="2"/>
      <c r="W277" s="2"/>
      <c r="X277" s="2"/>
      <c r="Y277" s="2"/>
      <c r="Z277" s="6"/>
      <c r="AA277" s="47"/>
      <c r="AB277" s="47"/>
      <c r="AC277" s="47"/>
      <c r="AD277" s="47"/>
      <c r="AE277" s="48">
        <v>11</v>
      </c>
    </row>
    <row r="278" spans="1:31" s="48" customFormat="1" ht="11.45" customHeight="1">
      <c r="A278" s="1"/>
      <c r="B278" s="3"/>
      <c r="C278" s="3"/>
      <c r="J278" s="2"/>
      <c r="K278" s="3"/>
      <c r="L278" s="3"/>
      <c r="M278" s="2"/>
      <c r="N278" s="2"/>
      <c r="O278" s="2"/>
      <c r="P278" s="2"/>
      <c r="Q278" s="3"/>
      <c r="R278" s="2"/>
      <c r="S278" s="2"/>
      <c r="T278" s="5"/>
      <c r="U278" s="2"/>
      <c r="V278" s="2"/>
      <c r="W278" s="2"/>
      <c r="X278" s="2"/>
      <c r="Y278" s="2"/>
      <c r="Z278" s="6"/>
      <c r="AA278" s="47"/>
      <c r="AB278" s="47"/>
      <c r="AC278" s="47"/>
      <c r="AD278" s="47"/>
      <c r="AE278" s="48">
        <v>11</v>
      </c>
    </row>
    <row r="279" spans="1:31" s="48" customFormat="1" ht="11.45" customHeight="1">
      <c r="A279" s="1"/>
      <c r="B279" s="3"/>
      <c r="C279" s="3"/>
      <c r="J279" s="2"/>
      <c r="K279" s="3"/>
      <c r="L279" s="3"/>
      <c r="M279" s="2"/>
      <c r="N279" s="2"/>
      <c r="O279" s="2"/>
      <c r="P279" s="2"/>
      <c r="Q279" s="3"/>
      <c r="R279" s="2"/>
      <c r="S279" s="2"/>
      <c r="T279" s="5"/>
      <c r="U279" s="2"/>
      <c r="V279" s="2"/>
      <c r="W279" s="2"/>
      <c r="X279" s="2"/>
      <c r="Y279" s="2"/>
      <c r="Z279" s="6"/>
      <c r="AA279" s="47"/>
      <c r="AB279" s="47"/>
      <c r="AC279" s="47"/>
      <c r="AD279" s="47"/>
      <c r="AE279" s="48">
        <v>11</v>
      </c>
    </row>
    <row r="280" spans="1:31" s="48" customFormat="1" ht="11.45" customHeight="1">
      <c r="A280" s="1"/>
      <c r="B280" s="3"/>
      <c r="C280" s="3"/>
      <c r="J280" s="2"/>
      <c r="K280" s="3"/>
      <c r="L280" s="3"/>
      <c r="M280" s="2"/>
      <c r="N280" s="2"/>
      <c r="O280" s="2"/>
      <c r="P280" s="2"/>
      <c r="Q280" s="3"/>
      <c r="R280" s="2"/>
      <c r="S280" s="2"/>
      <c r="T280" s="5"/>
      <c r="U280" s="2"/>
      <c r="V280" s="2"/>
      <c r="W280" s="2"/>
      <c r="X280" s="2"/>
      <c r="Y280" s="2"/>
      <c r="Z280" s="6"/>
      <c r="AA280" s="47"/>
      <c r="AB280" s="47"/>
      <c r="AC280" s="47"/>
      <c r="AD280" s="47"/>
      <c r="AE280" s="48">
        <v>11</v>
      </c>
    </row>
    <row r="281" spans="1:31" s="48" customFormat="1" ht="11.45" customHeight="1">
      <c r="A281" s="1"/>
      <c r="B281" s="3"/>
      <c r="C281" s="3"/>
      <c r="J281" s="2"/>
      <c r="K281" s="3"/>
      <c r="L281" s="3"/>
      <c r="M281" s="2"/>
      <c r="N281" s="2"/>
      <c r="O281" s="2"/>
      <c r="P281" s="2"/>
      <c r="Q281" s="3"/>
      <c r="R281" s="2"/>
      <c r="S281" s="2"/>
      <c r="T281" s="5"/>
      <c r="U281" s="2"/>
      <c r="V281" s="2"/>
      <c r="W281" s="2"/>
      <c r="X281" s="2"/>
      <c r="Y281" s="2"/>
      <c r="Z281" s="6"/>
      <c r="AA281" s="47"/>
      <c r="AB281" s="47"/>
      <c r="AC281" s="47"/>
      <c r="AD281" s="47"/>
      <c r="AE281" s="48">
        <v>11</v>
      </c>
    </row>
    <row r="282" spans="1:31" s="48" customFormat="1" ht="11.45" customHeight="1">
      <c r="A282" s="1"/>
      <c r="B282" s="3"/>
      <c r="C282" s="3"/>
      <c r="J282" s="2"/>
      <c r="K282" s="3"/>
      <c r="L282" s="3"/>
      <c r="M282" s="2"/>
      <c r="N282" s="2"/>
      <c r="O282" s="2"/>
      <c r="P282" s="2"/>
      <c r="Q282" s="3"/>
      <c r="R282" s="2"/>
      <c r="S282" s="2"/>
      <c r="T282" s="5"/>
      <c r="U282" s="2"/>
      <c r="V282" s="2"/>
      <c r="W282" s="2"/>
      <c r="X282" s="2"/>
      <c r="Y282" s="2"/>
      <c r="Z282" s="6"/>
      <c r="AA282" s="47"/>
      <c r="AB282" s="47"/>
      <c r="AC282" s="47"/>
      <c r="AD282" s="47"/>
      <c r="AE282" s="48">
        <v>11</v>
      </c>
    </row>
    <row r="283" spans="1:31" s="48" customFormat="1" ht="11.45" customHeight="1">
      <c r="A283" s="1"/>
      <c r="B283" s="3"/>
      <c r="C283" s="3"/>
      <c r="J283" s="2"/>
      <c r="K283" s="3"/>
      <c r="L283" s="3"/>
      <c r="M283" s="2"/>
      <c r="N283" s="2"/>
      <c r="O283" s="2"/>
      <c r="P283" s="2"/>
      <c r="Q283" s="3"/>
      <c r="R283" s="2"/>
      <c r="S283" s="2"/>
      <c r="T283" s="5"/>
      <c r="U283" s="2"/>
      <c r="V283" s="2"/>
      <c r="W283" s="2"/>
      <c r="X283" s="2"/>
      <c r="Y283" s="2"/>
      <c r="Z283" s="6"/>
      <c r="AA283" s="47"/>
      <c r="AB283" s="47"/>
      <c r="AC283" s="47"/>
      <c r="AD283" s="47"/>
      <c r="AE283" s="48">
        <v>11</v>
      </c>
    </row>
    <row r="284" spans="1:31" s="48" customFormat="1" ht="11.45" customHeight="1">
      <c r="A284" s="1"/>
      <c r="B284" s="3"/>
      <c r="C284" s="3"/>
      <c r="J284" s="2"/>
      <c r="K284" s="3"/>
      <c r="L284" s="3"/>
      <c r="M284" s="2"/>
      <c r="N284" s="2"/>
      <c r="O284" s="2"/>
      <c r="P284" s="2"/>
      <c r="Q284" s="3"/>
      <c r="R284" s="2"/>
      <c r="S284" s="2"/>
      <c r="T284" s="5"/>
      <c r="U284" s="2"/>
      <c r="V284" s="2"/>
      <c r="W284" s="2"/>
      <c r="X284" s="2"/>
      <c r="Y284" s="2"/>
      <c r="Z284" s="6"/>
      <c r="AA284" s="47"/>
      <c r="AB284" s="47"/>
      <c r="AC284" s="47"/>
      <c r="AD284" s="47"/>
      <c r="AE284" s="48">
        <v>11</v>
      </c>
    </row>
    <row r="285" spans="1:31" s="48" customFormat="1" ht="11.45" customHeight="1">
      <c r="A285" s="1"/>
      <c r="B285" s="3"/>
      <c r="C285" s="3"/>
      <c r="J285" s="2"/>
      <c r="K285" s="3"/>
      <c r="L285" s="3"/>
      <c r="M285" s="2"/>
      <c r="N285" s="2"/>
      <c r="O285" s="2"/>
      <c r="P285" s="2"/>
      <c r="Q285" s="3"/>
      <c r="R285" s="2"/>
      <c r="S285" s="2"/>
      <c r="T285" s="5"/>
      <c r="U285" s="2"/>
      <c r="V285" s="2"/>
      <c r="W285" s="2"/>
      <c r="X285" s="2"/>
      <c r="Y285" s="2"/>
      <c r="Z285" s="6"/>
      <c r="AA285" s="47"/>
      <c r="AB285" s="47"/>
      <c r="AC285" s="47"/>
      <c r="AD285" s="47"/>
      <c r="AE285" s="48">
        <v>11</v>
      </c>
    </row>
    <row r="286" spans="1:31" s="48" customFormat="1" ht="11.45" customHeight="1">
      <c r="A286" s="1"/>
      <c r="B286" s="3"/>
      <c r="C286" s="3"/>
      <c r="J286" s="2"/>
      <c r="K286" s="3"/>
      <c r="L286" s="3"/>
      <c r="M286" s="2"/>
      <c r="N286" s="2"/>
      <c r="O286" s="2"/>
      <c r="P286" s="2"/>
      <c r="Q286" s="3"/>
      <c r="R286" s="2"/>
      <c r="S286" s="2"/>
      <c r="T286" s="5"/>
      <c r="U286" s="2"/>
      <c r="V286" s="2"/>
      <c r="W286" s="2"/>
      <c r="X286" s="2"/>
      <c r="Y286" s="2"/>
      <c r="Z286" s="6"/>
      <c r="AA286" s="47"/>
      <c r="AB286" s="47"/>
      <c r="AC286" s="47"/>
      <c r="AD286" s="47"/>
      <c r="AE286" s="48">
        <v>11</v>
      </c>
    </row>
    <row r="287" spans="1:31" s="48" customFormat="1" ht="11.45" customHeight="1">
      <c r="A287" s="1"/>
      <c r="B287" s="3"/>
      <c r="C287" s="3"/>
      <c r="J287" s="2"/>
      <c r="K287" s="3"/>
      <c r="L287" s="3"/>
      <c r="M287" s="2"/>
      <c r="N287" s="2"/>
      <c r="O287" s="2"/>
      <c r="P287" s="2"/>
      <c r="Q287" s="3"/>
      <c r="R287" s="2"/>
      <c r="S287" s="2"/>
      <c r="T287" s="5"/>
      <c r="U287" s="2"/>
      <c r="V287" s="2"/>
      <c r="W287" s="2"/>
      <c r="X287" s="2"/>
      <c r="Y287" s="2"/>
      <c r="Z287" s="6"/>
      <c r="AA287" s="47"/>
      <c r="AB287" s="47"/>
      <c r="AC287" s="47"/>
      <c r="AD287" s="47"/>
      <c r="AE287" s="48">
        <v>11</v>
      </c>
    </row>
    <row r="288" spans="1:31" s="48" customFormat="1" ht="11.45" customHeight="1">
      <c r="A288" s="1"/>
      <c r="B288" s="3"/>
      <c r="C288" s="3"/>
      <c r="J288" s="2"/>
      <c r="K288" s="3"/>
      <c r="L288" s="3"/>
      <c r="M288" s="2"/>
      <c r="N288" s="2"/>
      <c r="O288" s="2"/>
      <c r="P288" s="2"/>
      <c r="Q288" s="3"/>
      <c r="R288" s="2"/>
      <c r="S288" s="2"/>
      <c r="T288" s="5"/>
      <c r="U288" s="2"/>
      <c r="V288" s="2"/>
      <c r="W288" s="2"/>
      <c r="X288" s="2"/>
      <c r="Y288" s="2"/>
      <c r="Z288" s="6"/>
      <c r="AA288" s="47"/>
      <c r="AB288" s="47"/>
      <c r="AC288" s="47"/>
      <c r="AD288" s="47"/>
      <c r="AE288" s="48">
        <v>11</v>
      </c>
    </row>
    <row r="289" spans="1:31" s="48" customFormat="1" ht="11.45" customHeight="1">
      <c r="A289" s="1"/>
      <c r="B289" s="3"/>
      <c r="C289" s="3"/>
      <c r="J289" s="2"/>
      <c r="K289" s="3"/>
      <c r="L289" s="3"/>
      <c r="M289" s="2"/>
      <c r="N289" s="2"/>
      <c r="O289" s="2"/>
      <c r="P289" s="2"/>
      <c r="Q289" s="3"/>
      <c r="R289" s="2"/>
      <c r="S289" s="2"/>
      <c r="T289" s="5"/>
      <c r="U289" s="2"/>
      <c r="V289" s="2"/>
      <c r="W289" s="2"/>
      <c r="X289" s="2"/>
      <c r="Y289" s="2"/>
      <c r="Z289" s="6"/>
      <c r="AA289" s="47"/>
      <c r="AB289" s="47"/>
      <c r="AC289" s="47"/>
      <c r="AD289" s="47"/>
      <c r="AE289" s="48">
        <v>11</v>
      </c>
    </row>
    <row r="290" spans="1:31" s="48" customFormat="1" ht="11.45" customHeight="1">
      <c r="A290" s="1"/>
      <c r="B290" s="3"/>
      <c r="C290" s="3"/>
      <c r="J290" s="2"/>
      <c r="K290" s="3"/>
      <c r="L290" s="3"/>
      <c r="M290" s="2"/>
      <c r="N290" s="2"/>
      <c r="O290" s="2"/>
      <c r="P290" s="2"/>
      <c r="Q290" s="3"/>
      <c r="R290" s="2"/>
      <c r="S290" s="2"/>
      <c r="T290" s="5"/>
      <c r="U290" s="2"/>
      <c r="V290" s="2"/>
      <c r="W290" s="2"/>
      <c r="X290" s="2"/>
      <c r="Y290" s="2"/>
      <c r="Z290" s="6"/>
      <c r="AA290" s="47"/>
      <c r="AB290" s="47"/>
      <c r="AC290" s="47"/>
      <c r="AD290" s="47"/>
      <c r="AE290" s="48">
        <v>11</v>
      </c>
    </row>
    <row r="291" spans="1:31" s="48" customFormat="1" ht="11.45" customHeight="1">
      <c r="A291" s="1"/>
      <c r="B291" s="3"/>
      <c r="C291" s="3"/>
      <c r="J291" s="2"/>
      <c r="K291" s="3"/>
      <c r="L291" s="3"/>
      <c r="M291" s="2"/>
      <c r="N291" s="2"/>
      <c r="O291" s="2"/>
      <c r="P291" s="2"/>
      <c r="Q291" s="3"/>
      <c r="R291" s="2"/>
      <c r="S291" s="2"/>
      <c r="T291" s="5"/>
      <c r="U291" s="2"/>
      <c r="V291" s="2"/>
      <c r="W291" s="2"/>
      <c r="X291" s="2"/>
      <c r="Y291" s="2"/>
      <c r="Z291" s="6"/>
      <c r="AA291" s="47"/>
      <c r="AB291" s="47"/>
      <c r="AC291" s="47"/>
      <c r="AD291" s="47"/>
      <c r="AE291" s="48">
        <v>11</v>
      </c>
    </row>
    <row r="292" spans="1:31" s="48" customFormat="1" ht="11.45" customHeight="1">
      <c r="A292" s="1"/>
      <c r="B292" s="3"/>
      <c r="C292" s="3"/>
      <c r="J292" s="2"/>
      <c r="K292" s="3"/>
      <c r="L292" s="3"/>
      <c r="M292" s="2"/>
      <c r="N292" s="2"/>
      <c r="O292" s="2"/>
      <c r="P292" s="2"/>
      <c r="Q292" s="3"/>
      <c r="R292" s="2"/>
      <c r="S292" s="2"/>
      <c r="T292" s="5"/>
      <c r="U292" s="2"/>
      <c r="V292" s="2"/>
      <c r="W292" s="2"/>
      <c r="X292" s="2"/>
      <c r="Y292" s="2"/>
      <c r="Z292" s="6"/>
      <c r="AA292" s="47"/>
      <c r="AB292" s="47"/>
      <c r="AC292" s="47"/>
      <c r="AD292" s="47"/>
      <c r="AE292" s="48">
        <v>11</v>
      </c>
    </row>
    <row r="293" spans="1:31" s="48" customFormat="1" ht="11.45" customHeight="1">
      <c r="A293" s="1"/>
      <c r="B293" s="3"/>
      <c r="C293" s="3"/>
      <c r="J293" s="2"/>
      <c r="K293" s="3"/>
      <c r="L293" s="3"/>
      <c r="M293" s="2"/>
      <c r="N293" s="2"/>
      <c r="O293" s="2"/>
      <c r="P293" s="2"/>
      <c r="Q293" s="3"/>
      <c r="R293" s="2"/>
      <c r="S293" s="2"/>
      <c r="T293" s="5"/>
      <c r="U293" s="2"/>
      <c r="V293" s="2"/>
      <c r="W293" s="2"/>
      <c r="X293" s="2"/>
      <c r="Y293" s="2"/>
      <c r="Z293" s="6"/>
      <c r="AA293" s="47"/>
      <c r="AB293" s="47"/>
      <c r="AC293" s="47"/>
      <c r="AD293" s="47"/>
      <c r="AE293" s="48">
        <v>11</v>
      </c>
    </row>
    <row r="294" spans="1:31" s="48" customFormat="1" ht="11.45" customHeight="1">
      <c r="A294" s="1"/>
      <c r="B294" s="3"/>
      <c r="C294" s="3"/>
      <c r="J294" s="2"/>
      <c r="K294" s="3"/>
      <c r="L294" s="3"/>
      <c r="M294" s="2"/>
      <c r="N294" s="2"/>
      <c r="O294" s="2"/>
      <c r="P294" s="2"/>
      <c r="Q294" s="3"/>
      <c r="R294" s="2"/>
      <c r="S294" s="2"/>
      <c r="T294" s="5"/>
      <c r="U294" s="2"/>
      <c r="V294" s="2"/>
      <c r="W294" s="2"/>
      <c r="X294" s="2"/>
      <c r="Y294" s="2"/>
      <c r="Z294" s="6"/>
      <c r="AA294" s="47"/>
      <c r="AB294" s="47"/>
      <c r="AC294" s="47"/>
      <c r="AD294" s="47"/>
      <c r="AE294" s="48">
        <v>11</v>
      </c>
    </row>
    <row r="295" spans="1:31" ht="11.45" customHeight="1">
      <c r="AE295" s="4">
        <v>11</v>
      </c>
    </row>
    <row r="296" spans="1:31" ht="11.45" customHeight="1">
      <c r="AE296" s="4">
        <v>11</v>
      </c>
    </row>
    <row r="297" spans="1:31" ht="11.45" customHeight="1">
      <c r="AE297" s="4">
        <v>11</v>
      </c>
    </row>
    <row r="298" spans="1:31" ht="11.45" customHeight="1">
      <c r="A298" s="102"/>
      <c r="B298" s="4"/>
      <c r="J298" s="4"/>
      <c r="M298" s="4"/>
      <c r="N298" s="4"/>
      <c r="O298" s="4"/>
      <c r="P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>
        <v>11</v>
      </c>
    </row>
    <row r="299" spans="1:31" ht="11.45" customHeight="1">
      <c r="A299" s="102"/>
      <c r="B299" s="4"/>
      <c r="J299" s="4"/>
      <c r="M299" s="4"/>
      <c r="N299" s="4"/>
      <c r="O299" s="4"/>
      <c r="P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>
        <v>11</v>
      </c>
    </row>
    <row r="300" spans="1:31" ht="11.45" customHeight="1">
      <c r="A300" s="102"/>
      <c r="B300" s="4"/>
      <c r="J300" s="4"/>
      <c r="M300" s="4"/>
      <c r="N300" s="4"/>
      <c r="O300" s="4"/>
      <c r="P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>
        <v>11</v>
      </c>
    </row>
    <row r="301" spans="1:31" ht="11.45" customHeight="1">
      <c r="A301" s="102"/>
      <c r="B301" s="4"/>
      <c r="J301" s="4"/>
      <c r="M301" s="4"/>
      <c r="N301" s="4"/>
      <c r="O301" s="4"/>
      <c r="P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>
        <v>11</v>
      </c>
    </row>
    <row r="302" spans="1:31" ht="11.45" customHeight="1">
      <c r="A302" s="102"/>
      <c r="B302" s="4"/>
      <c r="J302" s="4"/>
      <c r="M302" s="4"/>
      <c r="N302" s="4"/>
      <c r="O302" s="4"/>
      <c r="P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>
        <v>11</v>
      </c>
    </row>
    <row r="303" spans="1:31" ht="11.45" customHeight="1">
      <c r="A303" s="102"/>
      <c r="B303" s="4"/>
      <c r="J303" s="4"/>
      <c r="M303" s="4"/>
      <c r="N303" s="4"/>
      <c r="O303" s="4"/>
      <c r="P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>
        <v>11</v>
      </c>
    </row>
    <row r="304" spans="1:31" ht="11.45" customHeight="1">
      <c r="A304" s="102"/>
      <c r="B304" s="4"/>
      <c r="J304" s="4"/>
      <c r="M304" s="4"/>
      <c r="N304" s="4"/>
      <c r="O304" s="4"/>
      <c r="P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>
        <v>11</v>
      </c>
    </row>
    <row r="305" spans="1:31" ht="11.45" customHeight="1">
      <c r="A305" s="102"/>
      <c r="B305" s="4"/>
      <c r="J305" s="4"/>
      <c r="M305" s="4"/>
      <c r="N305" s="4"/>
      <c r="O305" s="4"/>
      <c r="P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>
        <v>11</v>
      </c>
    </row>
    <row r="306" spans="1:31" ht="11.45" customHeight="1">
      <c r="A306" s="102"/>
      <c r="B306" s="4"/>
      <c r="J306" s="4"/>
      <c r="M306" s="4"/>
      <c r="N306" s="4"/>
      <c r="O306" s="4"/>
      <c r="P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>
        <v>11</v>
      </c>
    </row>
    <row r="307" spans="1:31" ht="11.45" customHeight="1">
      <c r="A307" s="102"/>
      <c r="B307" s="4"/>
      <c r="J307" s="4"/>
      <c r="M307" s="4"/>
      <c r="N307" s="4"/>
      <c r="O307" s="4"/>
      <c r="P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>
        <v>11</v>
      </c>
    </row>
    <row r="308" spans="1:31" ht="11.45" customHeight="1">
      <c r="A308" s="102"/>
      <c r="B308" s="4"/>
      <c r="J308" s="4"/>
      <c r="M308" s="4"/>
      <c r="N308" s="4"/>
      <c r="O308" s="4"/>
      <c r="P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>
        <v>11</v>
      </c>
    </row>
    <row r="309" spans="1:31" ht="11.25" hidden="1" customHeight="1">
      <c r="A309" s="1" t="s">
        <v>63</v>
      </c>
      <c r="B309" s="2">
        <v>0</v>
      </c>
      <c r="C309" s="3">
        <v>0</v>
      </c>
      <c r="D309" s="4">
        <v>3</v>
      </c>
      <c r="E309" s="4">
        <v>7</v>
      </c>
      <c r="F309" s="4">
        <v>54</v>
      </c>
      <c r="G309" s="4">
        <v>10</v>
      </c>
      <c r="H309" s="4">
        <v>0</v>
      </c>
      <c r="I309" s="4">
        <v>40</v>
      </c>
      <c r="J309" s="2">
        <v>9</v>
      </c>
      <c r="K309" s="3">
        <v>5</v>
      </c>
      <c r="L309" s="3">
        <v>3</v>
      </c>
      <c r="M309" s="2">
        <v>3</v>
      </c>
      <c r="N309" s="2">
        <v>3</v>
      </c>
      <c r="O309" s="2">
        <v>3</v>
      </c>
      <c r="P309" s="2">
        <v>3</v>
      </c>
      <c r="Q309" s="3">
        <v>10</v>
      </c>
      <c r="R309" s="2">
        <v>34</v>
      </c>
      <c r="S309" s="2">
        <v>9</v>
      </c>
      <c r="T309" s="5">
        <v>8</v>
      </c>
      <c r="U309" s="2">
        <v>8</v>
      </c>
      <c r="V309" s="2">
        <v>8</v>
      </c>
      <c r="W309" s="2">
        <v>8</v>
      </c>
      <c r="X309" s="2">
        <v>8</v>
      </c>
      <c r="Y309" s="2">
        <v>8</v>
      </c>
      <c r="Z309" s="6">
        <v>8</v>
      </c>
      <c r="AA309" s="6">
        <v>8</v>
      </c>
      <c r="AB309" s="6">
        <v>8</v>
      </c>
      <c r="AC309" s="6">
        <v>8</v>
      </c>
      <c r="AD309" s="6">
        <v>8</v>
      </c>
      <c r="AE309" s="4">
        <v>11</v>
      </c>
    </row>
  </sheetData>
  <mergeCells count="17">
    <mergeCell ref="B2:B7"/>
    <mergeCell ref="F25:G25"/>
    <mergeCell ref="F26:G26"/>
    <mergeCell ref="F27:G27"/>
    <mergeCell ref="E28:G28"/>
    <mergeCell ref="A126:A136"/>
    <mergeCell ref="E21:I21"/>
    <mergeCell ref="E22:I22"/>
    <mergeCell ref="A33:A40"/>
    <mergeCell ref="B34:B39"/>
    <mergeCell ref="A41:A43"/>
    <mergeCell ref="A67:A68"/>
    <mergeCell ref="A89:A97"/>
    <mergeCell ref="A98:A102"/>
    <mergeCell ref="A103:A105"/>
    <mergeCell ref="A106:A118"/>
    <mergeCell ref="A122:A125"/>
  </mergeCells>
  <dataValidations count="12">
    <dataValidation allowBlank="1" showInputMessage="1" showErrorMessage="1" prompt="Для выбора выполните двойной щелчок левой клавиши мыши по соответствующей ячейке." sqref="H68:I68 H66:I66"/>
    <dataValidation type="decimal" allowBlank="1" showErrorMessage="1" errorTitle="Ошибка" error="Введите значение от 0 до 100%" sqref="H97:I97 H102:I102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H129:I129 H126:I126 H132:I132 H82:I87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H79:I80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Web&quot;." sqref="H134:I136 H88:I88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100">
      <formula1>kind_of_volume_te_unit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">
      <formula1>kind_of_fuels</formula1>
    </dataValidation>
    <dataValidation type="decimal" allowBlank="1" showErrorMessage="1" errorTitle="Ошибка" error="Допускается ввод только неотрицательных чисел!" sqref="H67:I67 H69:I69 H98:I101 H133:I133 H30:I30 H32:I33 H35:I38 H40:I65 H89:I93 H17:I17 H9:I13 H15:I15 H103:I125 H81:I81 H95:I96 H4:I6 H71:I7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4 H34:I34 H39:I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F12 F10 H70:I7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H7:I7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A1:XFD1">
      <formula1>900</formula1>
    </dataValidation>
  </dataValidations>
  <hyperlinks>
    <hyperlink ref="I8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Показатели ФХД</vt:lpstr>
      <vt:lpstr>B_FHD_FLAG_INDEX_1</vt:lpstr>
      <vt:lpstr>B_FHD_FLAG_INDEX_2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2024-05-07T06:59:17Z</dcterms:modified>
</cp:coreProperties>
</file>